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0640" windowHeight="11160" firstSheet="4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5621"/>
  <pivotCaches>
    <pivotCache cacheId="0" r:id="rId22"/>
  </pivotCaches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2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2" i="7" l="1"/>
  <c r="J3" i="13" l="1"/>
  <c r="H3" i="13"/>
  <c r="M16" i="10" l="1"/>
  <c r="N16" i="10"/>
  <c r="O16" i="10"/>
  <c r="O17" i="10" s="1"/>
  <c r="O18" i="10" s="1"/>
  <c r="P16" i="10"/>
  <c r="Q16" i="10"/>
  <c r="R16" i="10"/>
  <c r="S16" i="10"/>
  <c r="T16" i="10"/>
  <c r="U16" i="10"/>
  <c r="L16" i="10"/>
  <c r="D9" i="9"/>
  <c r="D10" i="9" s="1"/>
  <c r="D11" i="9" s="1"/>
  <c r="D22" i="9" l="1"/>
  <c r="D18" i="5" l="1"/>
  <c r="L11" i="8"/>
  <c r="M11" i="8"/>
  <c r="N11" i="8"/>
  <c r="O11" i="8"/>
  <c r="P11" i="8"/>
  <c r="Q11" i="8"/>
  <c r="K11" i="8"/>
  <c r="J22" i="7" l="1"/>
  <c r="K22" i="7"/>
  <c r="L22" i="7"/>
  <c r="M22" i="7"/>
  <c r="N22" i="7"/>
  <c r="O22" i="7"/>
  <c r="P22" i="7"/>
  <c r="I22" i="7"/>
  <c r="H22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<sst xmlns="http://schemas.openxmlformats.org/spreadsheetml/2006/main" count="26085" uniqueCount="9084">
  <si>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</si>
  <si>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</si>
  <si>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</si>
  <si>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</si>
  <si>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</si>
  <si>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</si>
  <si>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</si>
  <si>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</si>
  <si>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</si>
  <si>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</si>
  <si>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</si>
  <si>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</si>
  <si>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</si>
  <si>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</si>
  <si>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</si>
  <si>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</si>
  <si>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</si>
  <si>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</si>
  <si>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</si>
  <si>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</si>
  <si>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</si>
  <si>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</si>
  <si>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</si>
  <si>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</si>
  <si>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</si>
  <si>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</si>
  <si>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</si>
  <si>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</si>
  <si>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</si>
  <si>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</si>
  <si>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</si>
  <si>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</si>
  <si>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</si>
  <si>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</si>
  <si>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</si>
  <si>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</si>
  <si>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</si>
  <si>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</si>
  <si>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</si>
  <si>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</si>
  <si>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</si>
  <si>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</si>
  <si>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</si>
  <si>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</si>
  <si>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</si>
  <si>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</si>
  <si>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</si>
  <si>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</si>
  <si>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</si>
  <si>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</si>
  <si>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</si>
  <si>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</si>
  <si>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</si>
  <si>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</si>
  <si>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</si>
  <si>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</si>
  <si>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</si>
  <si>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</si>
  <si>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</si>
  <si>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</si>
  <si>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</si>
  <si>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</si>
  <si>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</si>
  <si>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</si>
  <si>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</si>
  <si>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</si>
  <si>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</si>
  <si>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</si>
  <si>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</si>
  <si>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</si>
  <si>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</si>
  <si>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</si>
  <si>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</si>
  <si>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</si>
  <si>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</si>
  <si>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</si>
  <si>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</si>
  <si>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</si>
  <si>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</si>
  <si>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</si>
  <si>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</si>
  <si>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</si>
  <si>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</si>
  <si>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</si>
  <si>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</si>
  <si>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</si>
  <si>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</si>
  <si>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</si>
  <si>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</si>
  <si>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</si>
  <si>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</si>
  <si>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</si>
  <si>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</si>
  <si>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</si>
  <si>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</si>
  <si>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</si>
  <si>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</si>
  <si>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</si>
  <si>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</si>
  <si>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</si>
  <si>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</si>
  <si>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</si>
  <si>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</si>
  <si>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</si>
  <si>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</si>
  <si>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</si>
  <si>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</si>
  <si>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</si>
  <si>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</si>
  <si>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</si>
  <si>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</si>
  <si>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</si>
  <si>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</si>
  <si>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</si>
  <si>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</si>
  <si>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</si>
  <si>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</si>
  <si>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</si>
  <si>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</si>
  <si>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</si>
  <si>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</si>
  <si>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</si>
  <si>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</si>
  <si>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</si>
  <si>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</si>
  <si>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</si>
  <si>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</si>
  <si>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</si>
  <si>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</si>
  <si>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</si>
  <si>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</si>
  <si>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</si>
  <si>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</si>
  <si>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</si>
  <si>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</si>
  <si>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</si>
  <si>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</si>
  <si>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</si>
  <si>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</si>
  <si>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</si>
  <si>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</si>
  <si>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</si>
  <si>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</si>
  <si>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</si>
  <si>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</si>
  <si>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</si>
  <si>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</si>
  <si>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</si>
  <si>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</si>
  <si>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</si>
  <si>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</si>
  <si>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</si>
  <si>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</si>
  <si>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</si>
  <si>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</si>
  <si>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</si>
  <si>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</si>
  <si>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</si>
  <si>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</si>
  <si>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</si>
  <si>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</si>
  <si>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</si>
  <si>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</si>
  <si>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</si>
  <si>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</si>
  <si>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</si>
  <si>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</si>
  <si>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</si>
  <si>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</si>
  <si>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</si>
  <si>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</si>
  <si>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</si>
  <si>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</si>
  <si>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</si>
  <si>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</si>
  <si>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</si>
  <si>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</si>
  <si>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</si>
  <si>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</si>
  <si>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</si>
  <si>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</si>
  <si>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</si>
  <si>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</si>
  <si>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</si>
  <si>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</si>
  <si>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</si>
  <si>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</si>
  <si>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</si>
  <si>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</si>
  <si>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</si>
  <si>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</si>
  <si>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</si>
  <si>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</si>
  <si>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</si>
  <si>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</si>
  <si>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</si>
  <si>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</si>
  <si>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</si>
  <si>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</si>
  <si>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</si>
  <si>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</si>
  <si>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</si>
  <si>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</si>
  <si>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</si>
  <si>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</si>
  <si>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</si>
  <si>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</si>
  <si>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</si>
  <si>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</si>
  <si>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</si>
  <si>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</si>
  <si>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</si>
  <si>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</si>
  <si>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</si>
  <si>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</si>
  <si>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</si>
  <si>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</si>
  <si>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</si>
  <si>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</si>
  <si>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</si>
  <si>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</si>
  <si>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</si>
  <si>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</si>
  <si>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</si>
  <si>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</si>
  <si>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</si>
  <si>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</si>
  <si>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</si>
  <si>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</si>
  <si>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</si>
  <si>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</si>
  <si>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</si>
  <si>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</si>
  <si>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</si>
  <si>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</si>
  <si>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</si>
  <si>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</si>
  <si>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</si>
  <si>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</si>
  <si>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</si>
  <si>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</si>
  <si>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</si>
  <si>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</si>
  <si>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</si>
  <si>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</si>
  <si>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</si>
  <si>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</si>
  <si>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</si>
  <si>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</si>
  <si>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</si>
  <si>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</si>
  <si>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</si>
  <si>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</si>
  <si>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</si>
  <si>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</si>
  <si>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</si>
  <si>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</si>
  <si>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</si>
  <si>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</si>
  <si>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</si>
  <si>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</si>
  <si>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</si>
  <si>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</si>
  <si>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</si>
  <si>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</si>
  <si>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</si>
  <si>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</si>
  <si>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</si>
  <si>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</si>
  <si>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</si>
  <si>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</si>
  <si>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</si>
  <si>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</si>
  <si>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</si>
  <si>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</si>
  <si>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</si>
  <si>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</si>
  <si>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</si>
  <si>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</si>
  <si>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</si>
  <si>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</si>
  <si>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</si>
  <si>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</si>
  <si>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</si>
  <si>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</si>
  <si>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</si>
  <si>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</si>
  <si>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</si>
  <si>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</si>
  <si>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</si>
  <si>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</si>
  <si>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</si>
  <si>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</si>
  <si>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</si>
  <si>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</si>
  <si>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</si>
  <si>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</si>
  <si>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</si>
  <si>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</si>
  <si>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</si>
  <si>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</si>
  <si>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</si>
  <si>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</si>
  <si>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</si>
  <si>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</si>
  <si>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</si>
  <si>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</si>
  <si>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</si>
  <si>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</si>
  <si>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</si>
  <si>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</si>
  <si>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</si>
  <si>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</si>
  <si>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</si>
  <si>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</si>
  <si>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</si>
  <si>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</si>
  <si>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</si>
  <si>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</si>
  <si>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</si>
  <si>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</si>
  <si>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</si>
  <si>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</si>
  <si>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</si>
  <si>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</si>
  <si>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</si>
  <si>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</si>
  <si>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</si>
  <si>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</si>
  <si>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</si>
  <si>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</si>
  <si>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</si>
  <si>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</si>
  <si>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</si>
  <si>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</si>
  <si>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</si>
  <si>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</si>
  <si>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</si>
  <si>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</si>
  <si>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</si>
  <si>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</si>
  <si>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</si>
  <si>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</si>
  <si>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</si>
  <si>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</si>
  <si>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</si>
  <si>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</si>
  <si>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</si>
  <si>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</si>
  <si>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</si>
  <si>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</si>
  <si>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</si>
  <si>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</si>
  <si>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</si>
  <si>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</si>
  <si>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</si>
  <si>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</si>
  <si>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</si>
  <si>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</si>
  <si>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</si>
  <si>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</si>
  <si>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</si>
  <si>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</si>
  <si>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</si>
  <si>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</si>
  <si>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</si>
  <si>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</si>
  <si>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</si>
  <si>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</si>
  <si>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</si>
  <si>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</si>
  <si>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</si>
  <si>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</si>
  <si>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</si>
  <si>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</si>
  <si>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</si>
  <si>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</si>
  <si>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</si>
  <si>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</si>
  <si>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</si>
  <si>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</si>
  <si>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</si>
  <si>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</si>
  <si>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</si>
  <si>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</si>
  <si>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</si>
  <si>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</si>
  <si>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</si>
  <si>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</si>
  <si>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</si>
  <si>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</si>
  <si>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</si>
  <si>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</si>
  <si>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</si>
  <si>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</si>
  <si>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</si>
  <si>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</si>
  <si>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</si>
  <si>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</si>
  <si>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</si>
  <si>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</si>
  <si>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</si>
  <si>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</si>
  <si>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</si>
  <si>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</si>
  <si>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</si>
  <si>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</si>
  <si>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</si>
  <si>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</si>
  <si>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</si>
  <si>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</si>
  <si>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</si>
  <si>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</si>
  <si>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</si>
  <si>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</si>
  <si>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</si>
  <si>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</si>
  <si>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</si>
  <si>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</si>
  <si>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</si>
  <si>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</si>
  <si>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</si>
  <si>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</si>
  <si>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</si>
  <si>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</si>
  <si>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</si>
  <si>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</si>
  <si>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</si>
  <si>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</si>
  <si>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</si>
  <si>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</si>
  <si>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</si>
  <si>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</si>
  <si>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</si>
  <si>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</si>
  <si>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</si>
  <si>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</si>
  <si>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</si>
  <si>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</si>
  <si>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</si>
  <si>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</si>
  <si>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</si>
  <si>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</si>
  <si>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</si>
  <si>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</si>
  <si>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</si>
  <si>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</si>
  <si>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</si>
  <si>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</si>
  <si>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</si>
  <si>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</si>
  <si>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</si>
  <si>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</si>
  <si>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</si>
  <si>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</si>
  <si>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</si>
  <si>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</si>
  <si>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</si>
  <si>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</si>
  <si>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</si>
  <si>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</si>
  <si>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</si>
  <si>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</si>
  <si>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</si>
  <si>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</si>
  <si>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</si>
  <si>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</si>
  <si>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</si>
  <si>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</si>
  <si>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</si>
  <si>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</si>
  <si>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</si>
  <si>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</si>
  <si>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</si>
  <si>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</si>
  <si>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</si>
  <si>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</si>
  <si>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</si>
  <si>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</si>
  <si>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</si>
  <si>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</si>
  <si>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</si>
  <si>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</si>
  <si>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</si>
  <si>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</si>
  <si>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</si>
  <si>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</si>
  <si>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</si>
  <si>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</si>
  <si>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</si>
  <si>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</si>
  <si>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</si>
  <si>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</si>
  <si>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</si>
  <si>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</si>
  <si>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</si>
  <si>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</si>
  <si>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</si>
  <si>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</si>
  <si>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</si>
  <si>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</si>
  <si>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</si>
  <si>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</si>
  <si>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</si>
  <si>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</si>
  <si>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</si>
  <si>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</si>
  <si>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</si>
  <si>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</si>
  <si>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</si>
  <si>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</si>
  <si>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</si>
  <si>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</si>
  <si>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</si>
  <si>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</si>
  <si>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</si>
  <si>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</si>
  <si>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</si>
  <si>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</si>
  <si>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</si>
  <si>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</si>
  <si>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</si>
  <si>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</si>
  <si>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</si>
  <si>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</si>
  <si>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</si>
  <si>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</si>
  <si>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</si>
  <si>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</si>
  <si>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</si>
  <si>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</si>
  <si>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</si>
  <si>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</si>
  <si>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</si>
  <si>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</si>
  <si>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</si>
  <si>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</si>
  <si>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</si>
  <si>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</si>
  <si>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</si>
  <si>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</si>
  <si>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</si>
  <si>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</si>
  <si>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</si>
  <si>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</si>
  <si>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</si>
  <si>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</si>
  <si>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</si>
  <si>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</si>
  <si>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</si>
  <si>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</si>
  <si>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</si>
  <si>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</si>
  <si>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</si>
  <si>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</si>
  <si>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</si>
  <si>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</si>
  <si>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</si>
  <si>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</si>
  <si>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</si>
  <si>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</si>
  <si>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</si>
  <si>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</si>
  <si>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</si>
  <si>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</si>
  <si>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</si>
  <si>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</si>
  <si>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</si>
  <si>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</si>
  <si>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</si>
  <si>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</si>
  <si>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</si>
  <si>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</si>
  <si>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</si>
  <si>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</si>
  <si>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</si>
  <si>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</si>
  <si>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</si>
  <si>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</si>
  <si>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</si>
  <si>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</si>
  <si>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</si>
  <si>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</si>
  <si>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</si>
  <si>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</si>
  <si>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</si>
  <si>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</si>
  <si>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</si>
  <si>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</si>
  <si>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</si>
  <si>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</si>
  <si>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</si>
  <si>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</si>
  <si>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</si>
  <si>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</si>
  <si>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</si>
  <si>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</si>
  <si>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</si>
  <si>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</si>
  <si>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</si>
  <si>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</si>
  <si>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</si>
  <si>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</si>
  <si>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</si>
  <si>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</si>
  <si>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</si>
  <si>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</si>
  <si>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</si>
  <si>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</si>
  <si>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</si>
  <si>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</si>
  <si>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</si>
  <si>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</si>
  <si>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</si>
  <si>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</si>
  <si>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</si>
  <si>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</si>
  <si>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</si>
  <si>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</si>
  <si>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</si>
  <si>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</si>
  <si>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</si>
  <si>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</si>
  <si>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</si>
  <si>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</si>
  <si>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</si>
  <si>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</si>
  <si>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</si>
  <si>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</si>
  <si>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</si>
  <si>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</si>
  <si>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</si>
  <si>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</si>
  <si>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</si>
  <si>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</si>
  <si>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</si>
  <si>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</si>
  <si>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</si>
  <si>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</si>
  <si>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</si>
  <si>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</si>
  <si>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</si>
  <si>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</si>
  <si>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</si>
  <si>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</si>
  <si>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</si>
  <si>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</si>
  <si>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</si>
  <si>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</si>
  <si>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</si>
  <si>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</si>
  <si>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</si>
  <si>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</si>
  <si>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</si>
  <si>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</si>
  <si>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</si>
  <si>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</si>
  <si>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</si>
  <si>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</si>
  <si>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</si>
  <si>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</si>
  <si>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</si>
  <si>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</si>
  <si>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</si>
  <si>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</si>
  <si>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</si>
  <si>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</si>
  <si>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</si>
  <si>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</si>
  <si>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</si>
  <si>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</si>
  <si>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</si>
  <si>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</si>
  <si>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</si>
  <si>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</si>
  <si>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</si>
  <si>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</si>
  <si>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</si>
  <si>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</si>
  <si>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</si>
  <si>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</si>
  <si>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</si>
  <si>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</si>
  <si>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</si>
  <si>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</si>
  <si>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</si>
  <si>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</si>
  <si>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</si>
  <si>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</si>
  <si>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</si>
  <si>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</si>
  <si>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</si>
  <si>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</si>
  <si>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</si>
  <si>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</si>
  <si>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</si>
  <si>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</si>
  <si>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</si>
  <si>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</si>
  <si>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</si>
  <si>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</si>
  <si>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</si>
  <si>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</si>
  <si>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</si>
  <si>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</si>
  <si>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</si>
  <si>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</si>
  <si>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</si>
  <si>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</si>
  <si>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</si>
  <si>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</si>
  <si>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</si>
  <si>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</si>
  <si>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</si>
  <si>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</si>
  <si>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</si>
  <si>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</si>
  <si>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</si>
  <si>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</si>
  <si>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</si>
  <si>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</si>
  <si>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</si>
  <si>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</si>
  <si>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</si>
  <si>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</si>
  <si>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</si>
  <si>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</si>
  <si>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</si>
  <si>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</si>
  <si>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</si>
  <si>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</si>
  <si>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</si>
  <si>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</si>
  <si>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</si>
  <si>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</si>
  <si>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</si>
  <si>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</si>
  <si>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</si>
  <si>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</si>
  <si>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</si>
  <si>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</si>
  <si>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</si>
  <si>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</si>
  <si>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</si>
  <si>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</si>
  <si>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</si>
  <si>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</si>
  <si>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</si>
  <si>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</si>
  <si>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</si>
  <si>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</si>
  <si>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</si>
  <si>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</si>
  <si>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</si>
  <si>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</si>
  <si>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</si>
  <si>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</si>
  <si>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</si>
  <si>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</si>
  <si>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</si>
  <si>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</si>
  <si>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</si>
  <si>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</si>
  <si>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</si>
  <si>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</si>
  <si>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</si>
  <si>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</si>
  <si>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</si>
  <si>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</si>
  <si>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</si>
  <si>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</si>
  <si>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</si>
  <si>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</si>
  <si>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</si>
  <si>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</si>
  <si>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</si>
  <si>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</si>
  <si>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</si>
  <si>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</si>
  <si>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</si>
  <si>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</si>
  <si>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</si>
  <si>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</si>
  <si>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</si>
  <si>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</si>
  <si>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</si>
  <si>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</si>
  <si>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</si>
  <si>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</si>
  <si>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</si>
  <si>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</si>
  <si>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</si>
  <si>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</si>
  <si>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</si>
  <si>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</si>
  <si>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</si>
  <si>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</si>
  <si>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</si>
  <si>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</si>
  <si>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</si>
  <si>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</si>
  <si>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</si>
  <si>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</si>
  <si>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</si>
  <si>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</si>
  <si>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</si>
  <si>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</si>
  <si>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</si>
  <si>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</si>
  <si>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</si>
  <si>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</si>
  <si>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</si>
  <si>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</si>
  <si>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</si>
  <si>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</si>
  <si>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</si>
  <si>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</si>
  <si>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</si>
  <si>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</si>
  <si>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</si>
  <si>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</si>
  <si>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</si>
  <si>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</si>
  <si>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</si>
  <si>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</si>
  <si>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</si>
  <si>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</si>
  <si>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</si>
  <si>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</si>
  <si>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</si>
  <si>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</si>
  <si>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</si>
  <si>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</si>
  <si>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</si>
  <si>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</si>
  <si>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</si>
  <si>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</si>
  <si>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</si>
  <si>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</si>
  <si>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</si>
  <si>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</si>
  <si>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</si>
  <si>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</si>
  <si>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</si>
  <si>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</si>
  <si>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</si>
  <si>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</si>
  <si>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</si>
  <si>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</si>
  <si>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</si>
  <si>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</si>
  <si>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</si>
  <si>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</si>
  <si>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</si>
  <si>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</si>
  <si>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</si>
  <si>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</si>
  <si>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</si>
  <si>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</si>
  <si>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</si>
  <si>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</si>
  <si>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</si>
  <si>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</si>
  <si>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</si>
  <si>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</si>
  <si>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</si>
  <si>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</si>
  <si>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</si>
  <si>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</si>
  <si>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</si>
  <si>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</si>
  <si>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</si>
  <si>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</si>
  <si>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</si>
  <si>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</si>
  <si>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</si>
  <si>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</si>
  <si>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</si>
  <si>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</si>
  <si>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</si>
  <si>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</si>
  <si>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</si>
  <si>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</si>
  <si>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</si>
  <si>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</si>
  <si>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</si>
  <si>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</si>
  <si>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</si>
  <si>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</si>
  <si>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</si>
  <si>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</si>
  <si>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</si>
  <si>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</si>
  <si>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</si>
  <si>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</si>
  <si>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</si>
  <si>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</si>
  <si>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</si>
  <si>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</si>
  <si>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</si>
  <si>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</si>
  <si>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</si>
  <si>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</si>
  <si>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</si>
  <si>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</si>
  <si>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</si>
  <si>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</si>
  <si>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</si>
  <si>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</si>
  <si>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</si>
  <si>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</si>
  <si>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</si>
  <si>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</si>
  <si>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</si>
  <si>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</si>
  <si>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</si>
  <si>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</si>
  <si>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</si>
  <si>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</si>
  <si>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</si>
  <si>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</si>
  <si>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</si>
  <si>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</si>
  <si>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</si>
  <si>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</si>
  <si>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</si>
  <si>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</si>
  <si>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</si>
  <si>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</si>
  <si>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</si>
  <si>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</si>
  <si>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</si>
  <si>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</si>
  <si>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</si>
  <si>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</si>
  <si>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</si>
  <si>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</si>
  <si>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</si>
  <si>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</si>
  <si>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</si>
  <si>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</si>
  <si>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</si>
  <si>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</si>
  <si>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</si>
  <si>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</si>
  <si>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</si>
  <si>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</si>
  <si>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</si>
  <si>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</si>
  <si>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</si>
  <si>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</si>
  <si>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</si>
  <si>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</si>
  <si>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</si>
  <si>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</si>
  <si>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</si>
  <si>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</si>
  <si>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</si>
  <si>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</si>
  <si>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</si>
  <si>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</si>
  <si>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</si>
  <si>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</si>
  <si>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</si>
  <si>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</si>
  <si>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</si>
  <si>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</si>
  <si>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</si>
  <si>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</si>
  <si>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</si>
  <si>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</si>
  <si>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</si>
  <si>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</si>
  <si>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</si>
  <si>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</si>
  <si>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</si>
  <si>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</si>
  <si>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</si>
  <si>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</si>
  <si>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</si>
  <si>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</si>
  <si>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</si>
  <si>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</si>
  <si>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</si>
  <si>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</si>
  <si>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</si>
  <si>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</si>
  <si>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</si>
  <si>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</si>
  <si>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</si>
  <si>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</si>
  <si>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</si>
  <si>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</si>
  <si>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</si>
  <si>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</si>
  <si>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</si>
  <si>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</si>
  <si>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</si>
  <si>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</si>
  <si>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</si>
  <si>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</si>
  <si>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</si>
  <si>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</si>
  <si>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</si>
  <si>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</si>
  <si>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</si>
  <si>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</si>
  <si>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</si>
  <si>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</si>
  <si>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</si>
  <si>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</si>
  <si>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</si>
  <si>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</si>
  <si>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</si>
  <si>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</si>
  <si>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</si>
  <si>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</si>
  <si>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</si>
  <si>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</si>
  <si>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</si>
  <si>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</si>
  <si>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</si>
  <si>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</si>
  <si>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</si>
  <si>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</si>
  <si>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</si>
  <si>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</si>
  <si>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</si>
  <si>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</si>
  <si>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</si>
  <si>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</si>
  <si>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</si>
  <si>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</si>
  <si>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</si>
  <si>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</si>
  <si>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</si>
  <si>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</si>
  <si>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</si>
  <si>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</si>
  <si>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</si>
  <si>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</si>
  <si>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</si>
  <si>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</si>
  <si>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</si>
  <si>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</si>
  <si>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</si>
  <si>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</si>
  <si>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</si>
  <si>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</si>
  <si>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</si>
  <si>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</si>
  <si>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</si>
  <si>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</si>
  <si>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</si>
  <si>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</si>
  <si>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</si>
  <si>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</si>
  <si>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</si>
  <si>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</si>
  <si>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</si>
  <si>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</si>
  <si>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</si>
  <si>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</si>
  <si>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</si>
  <si>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</si>
  <si>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</si>
  <si>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</si>
  <si>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</si>
  <si>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</si>
  <si>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</si>
  <si>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</si>
  <si>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</si>
  <si>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</si>
  <si>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</si>
  <si>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</si>
  <si>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</si>
  <si>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</si>
  <si>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</si>
  <si>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</si>
  <si>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</si>
  <si>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</si>
  <si>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</si>
  <si>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</si>
  <si>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</si>
  <si>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</si>
  <si>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</si>
  <si>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</si>
  <si>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</si>
  <si>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</si>
  <si>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</si>
  <si>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</si>
  <si>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</si>
  <si>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</si>
  <si>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</si>
  <si>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</si>
  <si>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</si>
  <si>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</si>
  <si>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</si>
  <si>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</si>
  <si>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</si>
  <si>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</si>
  <si>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</si>
  <si>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</si>
  <si>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</si>
  <si>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</si>
  <si>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</si>
  <si>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</si>
  <si>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</si>
  <si>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</si>
  <si>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</si>
  <si>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</si>
  <si>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</si>
  <si>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</si>
  <si>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</si>
  <si>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</si>
  <si>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</si>
  <si>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</si>
  <si>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</si>
  <si>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</si>
  <si>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</si>
  <si>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</si>
  <si>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</si>
  <si>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</si>
  <si>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</si>
  <si>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</si>
  <si>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</si>
  <si>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</si>
  <si>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</si>
  <si>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</si>
  <si>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</si>
  <si>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</si>
  <si>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</si>
  <si>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</si>
  <si>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</si>
  <si>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</si>
  <si>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</si>
  <si>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</si>
  <si>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</si>
  <si>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</si>
  <si>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</si>
  <si>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</si>
  <si>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</si>
  <si>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</si>
  <si>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</si>
  <si>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</si>
  <si>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</si>
  <si>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</si>
  <si>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</si>
  <si>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</si>
  <si>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</si>
  <si>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</si>
  <si>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</si>
  <si>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</si>
  <si>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</si>
  <si>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</si>
  <si>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</si>
  <si>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</si>
  <si>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</si>
  <si>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</si>
  <si>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</si>
  <si>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</si>
  <si>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</si>
  <si>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</si>
  <si>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</si>
  <si>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</si>
  <si>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</si>
  <si>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</si>
  <si>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</si>
  <si>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</si>
  <si>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</si>
  <si>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</si>
  <si>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</si>
  <si>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</si>
  <si>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</si>
  <si>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</si>
  <si>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</si>
  <si>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</si>
  <si>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</si>
  <si>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</si>
  <si>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</si>
  <si>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</si>
  <si>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</si>
  <si>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</si>
  <si>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</si>
  <si>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</si>
  <si>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</si>
  <si>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</si>
  <si>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</si>
  <si>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</si>
  <si>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</si>
  <si>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</si>
  <si>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</si>
  <si>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</si>
  <si>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</si>
  <si>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</si>
  <si>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</si>
  <si>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</si>
  <si>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</si>
  <si>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</si>
  <si>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</si>
  <si>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</si>
  <si>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</si>
  <si>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</si>
  <si>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</si>
  <si>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</si>
  <si>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</si>
  <si>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</si>
  <si>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</si>
  <si>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</si>
  <si>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</si>
  <si>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</si>
  <si>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</si>
  <si>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</si>
  <si>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</si>
  <si>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</si>
  <si>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</si>
  <si>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</si>
  <si>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</si>
  <si>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</si>
  <si>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</si>
  <si>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</si>
  <si>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</si>
  <si>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</si>
  <si>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</si>
  <si>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</si>
  <si>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</si>
  <si>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</si>
  <si>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</si>
  <si>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</si>
  <si>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</si>
  <si>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</si>
  <si>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</si>
  <si>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</si>
  <si>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</si>
  <si>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</si>
  <si>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</si>
  <si>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</si>
  <si>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</si>
  <si>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</si>
  <si>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</si>
  <si>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</si>
  <si>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</si>
  <si>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</si>
  <si>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</si>
  <si>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</si>
  <si>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</si>
  <si>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</si>
  <si>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</si>
  <si>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</si>
  <si>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</si>
  <si>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</si>
  <si>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</si>
  <si>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</si>
  <si>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</si>
  <si>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</si>
  <si>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</si>
  <si>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</si>
  <si>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</si>
  <si>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</si>
  <si>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</si>
  <si>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</si>
  <si>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</si>
  <si>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</si>
  <si>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</si>
  <si>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</si>
  <si>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</si>
  <si>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</si>
  <si>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</si>
  <si>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</si>
  <si>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</si>
  <si>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</si>
  <si>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</si>
  <si>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</si>
  <si>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</si>
  <si>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</si>
  <si>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</si>
  <si>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</si>
  <si>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</si>
  <si>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</si>
  <si>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</si>
  <si>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</si>
  <si>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</si>
  <si>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</si>
  <si>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</si>
  <si>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</si>
  <si>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</si>
  <si>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</si>
  <si>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</si>
  <si>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</si>
  <si>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</si>
  <si>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</si>
  <si>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</si>
  <si>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</si>
  <si>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</si>
  <si>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</si>
  <si>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</si>
  <si>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</si>
  <si>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</si>
  <si>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</si>
  <si>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</si>
  <si>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</si>
  <si>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</si>
  <si>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</si>
  <si>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</si>
  <si>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</si>
  <si>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</si>
  <si>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</si>
  <si>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</si>
  <si>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</si>
  <si>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</si>
  <si>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</si>
  <si>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</si>
  <si>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</si>
  <si>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</si>
  <si>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</si>
  <si>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</si>
  <si>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</si>
  <si>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</si>
  <si>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</si>
  <si>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</si>
  <si>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</si>
  <si>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</si>
  <si>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</si>
  <si>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</si>
  <si>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</si>
  <si>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</si>
  <si>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</si>
  <si>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</si>
  <si>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</si>
  <si>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</si>
  <si>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</si>
  <si>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</si>
  <si>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</si>
  <si>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</si>
  <si>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</si>
  <si>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</si>
  <si>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</si>
  <si>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</si>
  <si>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</si>
  <si>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</si>
  <si>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</si>
  <si>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</si>
  <si>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</si>
  <si>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</si>
  <si>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</si>
  <si>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</si>
  <si>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</si>
  <si>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</si>
  <si>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</si>
  <si>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</si>
  <si>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</si>
  <si>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</si>
  <si>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</si>
  <si>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</si>
  <si>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</si>
  <si>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</si>
  <si>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</si>
  <si>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</si>
  <si>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</si>
  <si>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</si>
  <si>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</si>
  <si>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</si>
  <si>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</si>
  <si>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</si>
  <si>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</si>
  <si>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</si>
  <si>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</si>
  <si>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</si>
  <si>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</si>
  <si>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</si>
  <si>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</si>
  <si>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</si>
  <si>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</si>
  <si>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</si>
  <si>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</si>
  <si>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</si>
  <si>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</si>
  <si>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</si>
  <si>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</si>
  <si>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</si>
  <si>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</si>
  <si>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</si>
  <si>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</si>
  <si>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</si>
  <si>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</si>
  <si>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</si>
  <si>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</si>
  <si>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</si>
  <si>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</si>
  <si>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</si>
  <si>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</si>
  <si>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</si>
  <si>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</si>
  <si>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</si>
  <si>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</si>
  <si>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</si>
  <si>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</si>
  <si>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</si>
  <si>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</si>
  <si>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</si>
  <si>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</si>
  <si>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</si>
  <si>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</si>
  <si>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</si>
  <si>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</si>
  <si>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</si>
  <si>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</si>
  <si>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</si>
  <si>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</si>
  <si>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</si>
  <si>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</si>
  <si>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</si>
  <si>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</si>
  <si>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</si>
  <si>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</si>
  <si>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</si>
  <si>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</si>
  <si>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</si>
  <si>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</si>
  <si>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</si>
  <si>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</si>
  <si>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</si>
  <si>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</si>
  <si>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</si>
  <si>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</si>
  <si>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</si>
  <si>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</si>
  <si>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</si>
  <si>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</si>
  <si>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</si>
  <si>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</si>
  <si>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</si>
  <si>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</si>
  <si>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</si>
  <si>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</si>
  <si>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</si>
  <si>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</si>
  <si>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</si>
  <si>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</si>
  <si>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</si>
  <si>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</si>
  <si>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</si>
  <si>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</si>
  <si>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</si>
  <si>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</si>
  <si>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</si>
  <si>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</si>
  <si>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</si>
  <si>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</si>
  <si>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</si>
  <si>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</si>
  <si>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</si>
  <si>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</si>
  <si>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</si>
  <si>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</si>
  <si>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</si>
  <si>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</si>
  <si>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</si>
  <si>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</si>
  <si>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</si>
  <si>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</si>
  <si>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</si>
  <si>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</si>
  <si>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</si>
  <si>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</si>
  <si>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</si>
  <si>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</si>
  <si>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</si>
  <si>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</si>
  <si>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</si>
  <si>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</si>
  <si>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</si>
  <si>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</si>
  <si>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</si>
  <si>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</si>
  <si>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</si>
  <si>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</si>
  <si>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</si>
  <si>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</si>
  <si>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</si>
  <si>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</si>
  <si>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</si>
  <si>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</si>
  <si>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</si>
  <si>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</si>
  <si>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</si>
  <si>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</si>
  <si>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</si>
  <si>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</si>
  <si>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</si>
  <si>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</si>
  <si>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</si>
  <si>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</si>
  <si>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</si>
  <si>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</si>
  <si>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</si>
  <si>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</si>
  <si>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</si>
  <si>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</si>
  <si>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</si>
  <si>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</si>
  <si>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</si>
  <si>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</si>
  <si>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</si>
  <si>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</si>
  <si>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</si>
  <si>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</si>
  <si>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</si>
  <si>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</si>
  <si>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</si>
  <si>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</si>
  <si>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</si>
  <si>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</si>
  <si>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</si>
  <si>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</si>
  <si>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</si>
  <si>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</si>
  <si>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</si>
  <si>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</si>
  <si>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</si>
  <si>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</si>
  <si>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</si>
  <si>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</si>
  <si>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</si>
  <si>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</si>
  <si>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</si>
  <si>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</si>
  <si>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</si>
  <si>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</si>
  <si>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</si>
  <si>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</si>
  <si>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</si>
  <si>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</si>
  <si>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</si>
  <si>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</si>
  <si>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</si>
  <si>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</si>
  <si>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</si>
  <si>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</si>
  <si>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</si>
  <si>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</si>
  <si>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</si>
  <si>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</si>
  <si>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</si>
  <si>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</si>
  <si>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</si>
  <si>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</si>
  <si>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</si>
  <si>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</si>
  <si>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</si>
  <si>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</si>
  <si>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</si>
  <si>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</si>
  <si>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</si>
  <si>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</si>
  <si>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</si>
  <si>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</si>
  <si>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</si>
  <si>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</si>
  <si>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</si>
  <si>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</si>
  <si>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</si>
  <si>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</si>
  <si>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</si>
  <si>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</si>
  <si>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</si>
  <si>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</si>
  <si>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</si>
  <si>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</si>
  <si>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</si>
  <si>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</si>
  <si>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</si>
  <si>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</si>
  <si>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</si>
  <si>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</si>
  <si>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</si>
  <si>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</si>
  <si>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</si>
  <si>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</si>
  <si>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</si>
  <si>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</si>
  <si>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</si>
  <si>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</si>
  <si>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</si>
  <si>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</si>
  <si>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</si>
  <si>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</si>
  <si>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</si>
  <si>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</si>
  <si>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</si>
  <si>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</si>
  <si>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</si>
  <si>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</si>
  <si>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</si>
  <si>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</si>
  <si>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</si>
  <si>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</si>
  <si>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</si>
  <si>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</si>
  <si>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</si>
  <si>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</si>
  <si>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</si>
  <si>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</si>
  <si>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</si>
  <si>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</si>
  <si>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</si>
  <si>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</si>
  <si>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</si>
  <si>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</si>
  <si>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</si>
  <si>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</si>
  <si>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</si>
  <si>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</si>
  <si>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</si>
  <si>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</si>
  <si>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</si>
  <si>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</si>
  <si>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</si>
  <si>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</si>
  <si>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</si>
  <si>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</si>
  <si>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</si>
  <si>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</si>
  <si>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</si>
  <si>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</si>
  <si>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</si>
  <si>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</si>
  <si>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</si>
  <si>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</si>
  <si>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</si>
  <si>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</si>
  <si>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</si>
  <si>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</si>
  <si>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</si>
  <si>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</si>
  <si>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</si>
  <si>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</si>
  <si>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</si>
  <si>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</si>
  <si>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</si>
  <si>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</si>
  <si>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</si>
  <si>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</si>
  <si>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</si>
  <si>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</si>
  <si>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</si>
  <si>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</si>
  <si>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</si>
  <si>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</si>
  <si>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</si>
  <si>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</si>
  <si>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</si>
  <si>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</si>
  <si>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</si>
  <si>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</si>
  <si>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</si>
  <si>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</si>
  <si>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</si>
  <si>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</si>
  <si>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</si>
  <si>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</si>
  <si>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</si>
  <si>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</si>
  <si>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</si>
  <si>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</si>
  <si>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</si>
  <si>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</si>
  <si>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</si>
  <si>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</si>
  <si>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</si>
  <si>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</si>
  <si>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</si>
  <si>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</si>
  <si>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</si>
  <si>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</si>
  <si>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</si>
  <si>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</si>
  <si>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</si>
  <si>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</si>
  <si>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</si>
  <si>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</si>
  <si>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</si>
  <si>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</si>
  <si>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</si>
  <si>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</si>
  <si>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</si>
  <si>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</si>
  <si>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</si>
  <si>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</si>
  <si>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</si>
  <si>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</si>
  <si>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</si>
  <si>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</si>
  <si>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</si>
  <si>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</si>
  <si>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</si>
  <si>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</si>
  <si>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</si>
  <si>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</si>
  <si>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</si>
  <si>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</si>
  <si>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</si>
  <si>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</si>
  <si>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</si>
  <si>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</si>
  <si>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</si>
  <si>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</si>
  <si>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</si>
  <si>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</si>
  <si>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</si>
  <si>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</si>
  <si>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</si>
  <si>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</si>
  <si>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</si>
  <si>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</si>
  <si>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</si>
  <si>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</si>
  <si>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</si>
  <si>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</si>
  <si>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</si>
  <si>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</si>
  <si>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</si>
  <si>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</si>
  <si>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</si>
  <si>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</si>
  <si>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</si>
  <si>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</si>
  <si>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</si>
  <si>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</si>
  <si>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</si>
  <si>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</si>
  <si>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</si>
  <si>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</si>
  <si>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</si>
  <si>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</si>
  <si>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</si>
  <si>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</si>
  <si>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</si>
  <si>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</si>
  <si>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</si>
  <si>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</si>
  <si>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</si>
  <si>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</si>
  <si>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</si>
  <si>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</si>
  <si>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</si>
  <si>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</si>
  <si>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</si>
  <si>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</si>
  <si>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</si>
  <si>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</si>
  <si>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</si>
  <si>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</si>
  <si>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</si>
  <si>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</si>
  <si>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</si>
  <si>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</si>
  <si>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</si>
  <si>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</si>
  <si>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</si>
  <si>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</si>
  <si>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</si>
  <si>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</si>
  <si>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</si>
  <si>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</si>
  <si>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</si>
  <si>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</si>
  <si>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</si>
  <si>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</si>
  <si>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</si>
  <si>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</si>
  <si>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</si>
  <si>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</si>
  <si>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</si>
  <si>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</si>
  <si>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</si>
  <si>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</si>
  <si>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</si>
  <si>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</si>
  <si>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</si>
  <si>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</si>
  <si>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</si>
  <si>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</si>
  <si>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</si>
  <si>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</si>
  <si>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</si>
  <si>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</si>
  <si>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</si>
  <si>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</si>
  <si>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</si>
  <si>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</si>
  <si>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</si>
  <si>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</si>
  <si>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</si>
  <si>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</si>
  <si>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</si>
  <si>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</si>
  <si>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</si>
  <si>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</si>
  <si>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</si>
  <si>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</si>
  <si>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</si>
  <si>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</si>
  <si>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</si>
  <si>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</si>
  <si>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</si>
  <si>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</si>
  <si>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</si>
  <si>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</si>
  <si>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</si>
  <si>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</si>
  <si>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</si>
  <si>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</si>
  <si>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</si>
  <si>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</si>
  <si>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</si>
  <si>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</si>
  <si>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</si>
  <si>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</si>
  <si>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</si>
  <si>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</si>
  <si>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</si>
  <si>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</si>
  <si>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</si>
  <si>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</si>
  <si>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</si>
  <si>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</si>
  <si>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</si>
  <si>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</si>
  <si>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</si>
  <si>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</si>
  <si>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</si>
  <si>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</si>
  <si>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</si>
  <si>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</si>
  <si>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</si>
  <si>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</si>
  <si>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</si>
  <si>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</si>
  <si>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</si>
  <si>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</si>
  <si>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</si>
  <si>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</si>
  <si>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</si>
  <si>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</si>
  <si>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</si>
  <si>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</si>
  <si>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</si>
  <si>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</si>
  <si>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</si>
  <si>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</si>
  <si>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</si>
  <si>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</si>
  <si>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</si>
  <si>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</si>
  <si>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</si>
  <si>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</si>
  <si>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</si>
  <si>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</si>
  <si>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</si>
  <si>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</si>
  <si>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</si>
  <si>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</si>
  <si>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</si>
  <si>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</si>
  <si>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</si>
  <si>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</si>
  <si>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</si>
  <si>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</si>
  <si>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</si>
  <si>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</si>
  <si>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</si>
  <si>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</si>
  <si>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</si>
  <si>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</si>
  <si>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</si>
  <si>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</si>
  <si>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</si>
  <si>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</si>
  <si>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</si>
  <si>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</si>
  <si>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</si>
  <si>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</si>
  <si>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</si>
  <si>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</si>
  <si>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</si>
  <si>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</si>
  <si>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</si>
  <si>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</si>
  <si>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</si>
  <si>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</si>
  <si>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</si>
  <si>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</si>
  <si>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</si>
  <si>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</si>
  <si>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</si>
  <si>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</si>
  <si>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</si>
  <si>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</si>
  <si>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</si>
  <si>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</si>
  <si>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</si>
  <si>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</si>
  <si>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</si>
  <si>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</si>
  <si>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</si>
  <si>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</si>
  <si>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</si>
  <si>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</si>
  <si>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</si>
  <si>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</si>
  <si>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</si>
  <si>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</si>
  <si>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</si>
  <si>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</si>
  <si>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</si>
  <si>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</si>
  <si>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</si>
  <si>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</si>
  <si>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</si>
  <si>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</si>
  <si>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</si>
  <si>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</si>
  <si>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</si>
  <si>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</si>
  <si>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</si>
  <si>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</si>
  <si>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</si>
  <si>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</si>
  <si>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</si>
  <si>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</si>
  <si>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</si>
  <si>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</si>
  <si>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</si>
  <si>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</si>
  <si>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</si>
  <si>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</si>
  <si>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</si>
  <si>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</si>
  <si>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</si>
  <si>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</si>
  <si>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</si>
  <si>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</si>
  <si>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</si>
  <si>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</si>
  <si>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</si>
  <si>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</si>
  <si>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</si>
  <si>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</si>
  <si>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</si>
  <si>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</si>
  <si>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</si>
  <si>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</si>
  <si>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</si>
  <si>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</si>
  <si>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</si>
  <si>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</si>
  <si>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</si>
  <si>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</si>
  <si>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</si>
  <si>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</si>
  <si>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</si>
  <si>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</si>
  <si>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</si>
  <si>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</si>
  <si>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</si>
  <si>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</si>
  <si>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</si>
  <si>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</si>
  <si>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</si>
  <si>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</si>
  <si>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</si>
  <si>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</si>
  <si>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</si>
  <si>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</si>
  <si>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</si>
  <si>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</si>
  <si>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</si>
  <si>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</si>
  <si>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</si>
  <si>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</si>
  <si>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</si>
  <si>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</si>
  <si>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</si>
  <si>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</si>
  <si>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</si>
  <si>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</si>
  <si>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</si>
  <si>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</si>
  <si>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</si>
  <si>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</si>
  <si>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</si>
  <si>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</si>
  <si>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</si>
  <si>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</si>
  <si>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</si>
  <si>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</si>
  <si>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</si>
  <si>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</si>
  <si>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</si>
  <si>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</si>
  <si>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</si>
  <si>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</si>
  <si>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</si>
  <si>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</si>
  <si>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</si>
  <si>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</si>
  <si>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</si>
  <si>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</si>
  <si>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</si>
  <si>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</si>
  <si>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</si>
  <si>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</si>
  <si>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</si>
  <si>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</si>
  <si>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</si>
  <si>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</si>
  <si>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</si>
  <si>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</si>
  <si>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</si>
  <si>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</si>
  <si>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</si>
  <si>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</si>
  <si>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</si>
  <si>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</si>
  <si>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</si>
  <si>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</si>
  <si>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</si>
  <si>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</si>
  <si>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</si>
  <si>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</si>
  <si>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</si>
  <si>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</si>
  <si>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</si>
  <si>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</si>
  <si>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</si>
  <si>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</si>
  <si>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</si>
  <si>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</si>
  <si>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</si>
  <si>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</si>
  <si>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</si>
  <si>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</si>
  <si>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</si>
  <si>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</si>
  <si>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</si>
  <si>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</si>
  <si>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</si>
  <si>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</si>
  <si>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</si>
  <si>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</si>
  <si>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</si>
  <si>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</si>
  <si>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</si>
  <si>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</si>
  <si>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</si>
  <si>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</si>
  <si>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</si>
  <si>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</si>
  <si>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</si>
  <si>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</si>
  <si>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</si>
  <si>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</si>
  <si>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</si>
  <si>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</si>
  <si>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</si>
  <si>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</si>
  <si>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</si>
  <si>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</si>
  <si>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</si>
  <si>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</si>
  <si>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</si>
  <si>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</si>
  <si>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</si>
  <si>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</si>
  <si>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</si>
  <si>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</si>
  <si>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</si>
  <si>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</si>
  <si>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</si>
  <si>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</si>
  <si>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</si>
  <si>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</si>
  <si>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</si>
  <si>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</si>
  <si>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</si>
  <si>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</si>
  <si>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</si>
  <si>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</si>
  <si>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</si>
  <si>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</si>
  <si>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</si>
  <si>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</si>
  <si>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</si>
  <si>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</si>
  <si>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</si>
  <si>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</si>
  <si>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</si>
  <si>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</si>
  <si>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</si>
  <si>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</si>
  <si>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</si>
  <si>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</si>
  <si>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</si>
  <si>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</si>
  <si>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</si>
  <si>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</si>
  <si>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</si>
  <si>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</si>
  <si>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</si>
  <si>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</si>
  <si>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</si>
  <si>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</si>
  <si>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</si>
  <si>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</si>
  <si>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</si>
  <si>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</si>
  <si>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</si>
  <si>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</si>
  <si>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</si>
  <si>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</si>
  <si>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</si>
  <si>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</si>
  <si>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</si>
  <si>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</si>
  <si>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</si>
  <si>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</si>
  <si>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</si>
  <si>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</si>
  <si>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</si>
  <si>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</si>
  <si>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</si>
  <si>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</si>
  <si>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</si>
  <si>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</si>
  <si>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</si>
  <si>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</si>
  <si>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</si>
  <si>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</si>
  <si>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</si>
  <si>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</si>
  <si>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</si>
  <si>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</si>
  <si>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</si>
  <si>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</si>
  <si>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</si>
  <si>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</si>
  <si>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</si>
  <si>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</si>
  <si>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</si>
  <si>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</si>
  <si>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</si>
  <si>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</si>
  <si>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</si>
  <si>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</si>
  <si>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</si>
  <si>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</si>
  <si>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</si>
  <si>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</si>
  <si>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</si>
  <si>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</si>
  <si>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</si>
  <si>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</si>
  <si>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</si>
  <si>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</si>
  <si>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</si>
  <si>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</si>
  <si>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</si>
  <si>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</si>
  <si>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</si>
  <si>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</si>
  <si>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</si>
  <si>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</si>
  <si>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</si>
  <si>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</si>
  <si>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</si>
  <si>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</si>
  <si>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</si>
  <si>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</si>
  <si>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</si>
  <si>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</si>
  <si>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</si>
  <si>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</si>
  <si>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</si>
  <si>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</si>
  <si>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</si>
  <si>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</si>
  <si>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</si>
  <si>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</si>
  <si>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</si>
  <si>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</si>
  <si>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</si>
  <si>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</si>
  <si>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</si>
  <si>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</si>
  <si>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</si>
  <si>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</si>
  <si>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</si>
  <si>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</si>
  <si>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</si>
  <si>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</si>
  <si>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</si>
  <si>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</si>
  <si>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</si>
  <si>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</si>
  <si>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</si>
  <si>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</si>
  <si>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</si>
  <si>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</si>
  <si>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</si>
  <si>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</si>
  <si>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</si>
  <si>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</si>
  <si>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</si>
  <si>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</si>
  <si>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</si>
  <si>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</si>
  <si>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</si>
  <si>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</si>
  <si>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</si>
  <si>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</si>
  <si>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</si>
  <si>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</si>
  <si>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</si>
  <si>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</si>
  <si>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</si>
  <si>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</si>
  <si>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</si>
  <si>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</si>
  <si>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</si>
  <si>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</si>
  <si>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</si>
  <si>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</si>
  <si>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</si>
  <si>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</si>
  <si>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</si>
  <si>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</si>
  <si>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</si>
  <si>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</si>
  <si>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</si>
  <si>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</si>
  <si>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</si>
  <si>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</si>
  <si>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</si>
  <si>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</si>
  <si>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</si>
  <si>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</si>
  <si>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</si>
  <si>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</si>
  <si>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</si>
  <si>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</si>
  <si>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</si>
  <si>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</si>
  <si>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</si>
  <si>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</si>
  <si>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</si>
  <si>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</si>
  <si>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</si>
  <si>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</si>
  <si>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</si>
  <si>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</si>
  <si>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</si>
  <si>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</si>
  <si>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</si>
  <si>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</si>
  <si>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</si>
  <si>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</si>
  <si>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</si>
  <si>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</si>
  <si>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</si>
  <si>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</si>
  <si>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</si>
  <si>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</si>
  <si>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</si>
  <si>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</si>
  <si>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</si>
  <si>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</si>
  <si>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</si>
  <si>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</si>
  <si>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</si>
  <si>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</si>
  <si>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</si>
  <si>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</si>
  <si>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</si>
  <si>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</si>
  <si>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</si>
  <si>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</si>
  <si>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</si>
  <si>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</si>
  <si>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</si>
  <si>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</si>
  <si>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</si>
  <si>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</si>
  <si>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</si>
  <si>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</si>
  <si>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</si>
  <si>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</si>
  <si>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</si>
  <si>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</si>
  <si>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</si>
  <si>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</si>
  <si>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</si>
  <si>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</si>
  <si>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</si>
  <si>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</si>
  <si>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</si>
  <si>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</si>
  <si>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</si>
  <si>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</si>
  <si>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</si>
  <si>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</si>
  <si>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</si>
  <si>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</si>
  <si>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</si>
  <si>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</si>
  <si>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</si>
  <si>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</si>
  <si>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</si>
  <si>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</si>
  <si>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</si>
  <si>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</si>
  <si>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</si>
  <si>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</si>
  <si>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</si>
  <si>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</si>
  <si>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</si>
  <si>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</si>
  <si>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</si>
  <si>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</si>
  <si>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</si>
  <si>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</si>
  <si>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</si>
  <si>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</si>
  <si>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</si>
  <si>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</si>
  <si>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</si>
  <si>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</si>
  <si>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</si>
  <si>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</si>
  <si>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</si>
  <si>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</si>
  <si>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</si>
  <si>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</si>
  <si>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</si>
  <si>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</si>
  <si>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</si>
  <si>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</si>
  <si>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</si>
  <si>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</si>
  <si>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</si>
  <si>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</si>
  <si>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</si>
  <si>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</si>
  <si>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</si>
  <si>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</si>
  <si>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</si>
  <si>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</si>
  <si>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</si>
  <si>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</si>
  <si>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</si>
  <si>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</si>
  <si>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</si>
  <si>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</si>
  <si>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</si>
  <si>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</si>
  <si>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</si>
  <si>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</si>
  <si>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</si>
  <si>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</si>
  <si>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</si>
  <si>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</si>
  <si>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</si>
  <si>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</si>
  <si>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</si>
  <si>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</si>
  <si>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</si>
  <si>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</si>
  <si>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</si>
  <si>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</si>
  <si>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</si>
  <si>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</si>
  <si>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</si>
  <si>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</si>
  <si>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</si>
  <si>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</si>
  <si>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</si>
  <si>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</si>
  <si>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</si>
  <si>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</si>
  <si>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</si>
  <si>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</si>
  <si>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</si>
  <si>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</si>
  <si>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</si>
  <si>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</si>
  <si>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</si>
  <si>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</si>
  <si>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</si>
  <si>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</si>
  <si>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</si>
  <si>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</si>
  <si>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</si>
  <si>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</si>
  <si>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</si>
  <si>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</si>
  <si>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</si>
  <si>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</si>
  <si>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</si>
  <si>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</si>
  <si>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</si>
  <si>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</si>
  <si>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</si>
  <si>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</si>
  <si>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</si>
  <si>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</si>
  <si>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</si>
  <si>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</si>
  <si>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</si>
  <si>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</si>
  <si>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</si>
  <si>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</si>
  <si>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</si>
  <si>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</si>
  <si>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</si>
  <si>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</si>
  <si>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</si>
  <si>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</si>
  <si>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</si>
  <si>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</si>
  <si>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</si>
  <si>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</si>
  <si>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</si>
  <si>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</si>
  <si>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</si>
  <si>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</si>
  <si>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</si>
  <si>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</si>
  <si>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</si>
  <si>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</si>
  <si>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</si>
  <si>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</si>
  <si>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</si>
  <si>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</si>
  <si>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</si>
  <si>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</si>
  <si>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</si>
  <si>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</si>
  <si>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</si>
  <si>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</si>
  <si>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</si>
  <si>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</si>
  <si>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</si>
  <si>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</si>
  <si>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</si>
  <si>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</si>
  <si>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</si>
  <si>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</si>
  <si>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</si>
  <si>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</si>
  <si>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</si>
  <si>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</si>
  <si>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</si>
  <si>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</si>
  <si>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</si>
  <si>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</si>
  <si>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</si>
  <si>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</si>
  <si>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</si>
  <si>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</si>
  <si>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</si>
  <si>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</si>
  <si>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</si>
  <si>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</si>
  <si>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</si>
  <si>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</si>
  <si>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</si>
  <si>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</si>
  <si>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</si>
  <si>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</si>
  <si>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</si>
  <si>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</si>
  <si>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</si>
  <si>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</si>
  <si>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</si>
  <si>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</si>
  <si>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</si>
  <si>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</si>
  <si>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</si>
  <si>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</si>
  <si>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</si>
  <si>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</si>
  <si>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</si>
  <si>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</si>
  <si>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</si>
  <si>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</si>
  <si>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</si>
  <si>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</si>
  <si>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</si>
  <si>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</si>
  <si>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</si>
  <si>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</si>
  <si>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</si>
  <si>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</si>
  <si>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</si>
  <si>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</si>
  <si>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</si>
  <si>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</si>
  <si>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</si>
  <si>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</si>
  <si>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</si>
  <si>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</si>
  <si>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</si>
  <si>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</si>
  <si>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</si>
  <si>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</si>
  <si>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</si>
  <si>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</si>
  <si>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</si>
  <si>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</si>
  <si>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</si>
  <si>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</si>
  <si>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</si>
  <si>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</si>
  <si>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</si>
  <si>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</si>
  <si>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</si>
  <si>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</si>
  <si>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</si>
  <si>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</si>
  <si>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</si>
  <si>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</si>
  <si>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</si>
  <si>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</si>
  <si>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</si>
  <si>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</si>
  <si>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</si>
  <si>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</si>
  <si>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</si>
  <si>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</si>
  <si>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</si>
  <si>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</si>
  <si>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</si>
  <si>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</si>
  <si>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</si>
  <si>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</si>
  <si>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</si>
  <si>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</si>
  <si>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</si>
  <si>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</si>
  <si>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</si>
  <si>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</si>
  <si>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</si>
  <si>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</si>
  <si>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</si>
  <si>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</si>
  <si>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</si>
  <si>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</si>
  <si>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</si>
  <si>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</si>
  <si>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</si>
  <si>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</si>
  <si>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</si>
  <si>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</si>
  <si>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</si>
  <si>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</si>
  <si>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</si>
  <si>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</si>
  <si>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</si>
  <si>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</si>
  <si>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</si>
  <si>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</si>
  <si>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</si>
  <si>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</si>
  <si>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</si>
  <si>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</si>
  <si>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</si>
  <si>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</si>
  <si>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</si>
  <si>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</si>
  <si>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</si>
  <si>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</si>
  <si>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</si>
  <si>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</si>
  <si>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</si>
  <si>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</si>
  <si>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</si>
  <si>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</si>
  <si>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</si>
  <si>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</si>
  <si>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</si>
  <si>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</si>
  <si>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</si>
  <si>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</si>
  <si>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</si>
  <si>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</si>
  <si>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</si>
  <si>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</si>
  <si>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</si>
  <si>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</si>
  <si>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</si>
  <si>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</si>
  <si>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</si>
  <si>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</si>
  <si>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</si>
  <si>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</si>
  <si>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</si>
  <si>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</si>
  <si>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</si>
  <si>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</si>
  <si>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</si>
  <si>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</si>
  <si>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</si>
  <si>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</si>
  <si>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</si>
  <si>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</si>
  <si>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</si>
  <si>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</si>
  <si>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</si>
  <si>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</si>
  <si>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</si>
  <si>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</si>
  <si>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</si>
  <si>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</si>
  <si>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</si>
  <si>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</si>
  <si>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</si>
  <si>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</si>
  <si>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</si>
  <si>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</si>
  <si>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</si>
  <si>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</si>
  <si>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</si>
  <si>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</si>
  <si>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</si>
  <si>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</si>
  <si>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</si>
  <si>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</si>
  <si>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</si>
  <si>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</si>
  <si>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</si>
  <si>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</si>
  <si>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</si>
  <si>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</si>
  <si>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</si>
  <si>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</si>
  <si>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</si>
  <si>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</si>
  <si>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</si>
  <si>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</si>
  <si>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</si>
  <si>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</si>
  <si>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</si>
  <si>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</si>
  <si>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</si>
  <si>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</si>
  <si>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</si>
  <si>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</si>
  <si>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</si>
  <si>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</si>
  <si>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</si>
  <si>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</si>
  <si>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</si>
  <si>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</si>
  <si>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</si>
  <si>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</si>
  <si>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</si>
  <si>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</si>
  <si>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</si>
  <si>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</si>
  <si>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</si>
  <si>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</si>
  <si>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</si>
  <si>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</si>
  <si>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</si>
  <si>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</si>
  <si>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</si>
  <si>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</si>
  <si>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</si>
  <si>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</si>
  <si>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</si>
  <si>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</si>
  <si>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</si>
  <si>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</si>
  <si>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</si>
  <si>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</si>
  <si>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</si>
  <si>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</si>
  <si>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</si>
  <si>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</si>
  <si>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</si>
  <si>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</si>
  <si>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</si>
  <si>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</si>
  <si>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</si>
  <si>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</si>
  <si>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</si>
  <si>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</si>
  <si>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</si>
  <si>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</si>
  <si>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</si>
  <si>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</si>
  <si>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</si>
  <si>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</si>
  <si>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</si>
  <si>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</si>
  <si>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</si>
  <si>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</si>
  <si>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</si>
  <si>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</si>
  <si>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</si>
  <si>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</si>
  <si>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</si>
  <si>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</si>
  <si>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</si>
  <si>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</si>
  <si>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</si>
  <si>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</si>
  <si>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</si>
  <si>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</si>
  <si>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</si>
  <si>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</si>
  <si>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</si>
  <si>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</si>
  <si>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</si>
  <si>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</si>
  <si>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</si>
  <si>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</si>
  <si>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</si>
  <si>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</si>
  <si>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</si>
  <si>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</si>
  <si>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</si>
  <si>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</si>
  <si>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</si>
  <si>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</si>
  <si>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</si>
  <si>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</si>
  <si>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</si>
  <si>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</si>
  <si>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</si>
  <si>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</si>
  <si>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</si>
  <si>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</si>
  <si>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</si>
  <si>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</si>
  <si>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</si>
  <si>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</si>
  <si>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</si>
  <si>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</si>
  <si>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</si>
  <si>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</si>
  <si>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</si>
  <si>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</si>
  <si>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</si>
  <si>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</si>
  <si>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</si>
  <si>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</si>
  <si>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</si>
  <si>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</si>
  <si>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</si>
  <si>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</si>
  <si>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</si>
  <si>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</si>
  <si>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</si>
  <si>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</si>
  <si>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</si>
  <si>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</si>
  <si>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</si>
  <si>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</si>
  <si>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</si>
  <si>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</si>
  <si>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</si>
  <si>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</si>
  <si>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</si>
  <si>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</si>
  <si>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</si>
  <si>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</si>
  <si>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</si>
  <si>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</si>
  <si>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</si>
  <si>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</si>
  <si>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</si>
  <si>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</si>
  <si>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</si>
  <si>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</si>
  <si>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</si>
  <si>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</si>
  <si>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</si>
  <si>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</si>
  <si>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</si>
  <si>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</si>
  <si>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</si>
  <si>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</si>
  <si>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</si>
  <si>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</si>
  <si>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</si>
  <si>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</si>
  <si>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</si>
  <si>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</si>
  <si>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</si>
  <si>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</si>
  <si>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</si>
  <si>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</si>
  <si>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</si>
  <si>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</si>
  <si>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</si>
  <si>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</si>
  <si>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</si>
  <si>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</si>
  <si>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</si>
  <si>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</si>
  <si>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</si>
  <si>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</si>
  <si>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</si>
  <si>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</si>
  <si>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</si>
  <si>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</si>
  <si>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</si>
  <si>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</si>
  <si>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</si>
  <si>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</si>
  <si>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</si>
  <si>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</si>
  <si>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</si>
  <si>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</si>
  <si>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</si>
  <si>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</si>
  <si>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</si>
  <si>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</si>
  <si>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</si>
  <si>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</si>
  <si>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</si>
  <si>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</si>
  <si>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</si>
  <si>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</si>
  <si>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</si>
  <si>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</si>
  <si>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</si>
  <si>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</si>
  <si>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</si>
  <si>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</si>
  <si>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</si>
  <si>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</si>
  <si>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</si>
  <si>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</si>
  <si>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</si>
  <si>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</si>
  <si>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</si>
  <si>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</si>
  <si>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</si>
  <si>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</si>
  <si>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</si>
  <si>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</si>
  <si>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</si>
  <si>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</si>
  <si>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</si>
  <si>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</si>
  <si>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</si>
  <si>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</si>
  <si>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</si>
  <si>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</si>
  <si>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</si>
  <si>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</si>
  <si>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</si>
  <si>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</si>
  <si>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</si>
  <si>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</si>
  <si>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</si>
  <si>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</si>
  <si>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</si>
  <si>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</si>
  <si>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</si>
  <si>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</si>
  <si>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</si>
  <si>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</si>
  <si>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</si>
  <si>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</si>
  <si>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</si>
  <si>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</si>
  <si>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</si>
  <si>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</si>
  <si>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</si>
  <si>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</si>
  <si>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</si>
  <si>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</si>
  <si>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</si>
  <si>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</si>
  <si>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</si>
  <si>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</si>
  <si>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</si>
  <si>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</si>
  <si>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</si>
  <si>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</si>
  <si>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</si>
  <si>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</si>
  <si>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</si>
  <si>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</si>
  <si>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</si>
  <si>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</si>
  <si>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</si>
  <si>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</si>
  <si>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</si>
  <si>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</si>
  <si>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</si>
  <si>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</si>
  <si>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</si>
  <si>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</si>
  <si>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</si>
  <si>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</si>
  <si>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</si>
  <si>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</si>
  <si>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</si>
  <si>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</si>
  <si>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</si>
  <si>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</si>
  <si>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</si>
  <si>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</si>
  <si>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</si>
  <si>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</si>
  <si>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</si>
  <si>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</si>
  <si>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</si>
  <si>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</si>
  <si>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</si>
  <si>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</si>
  <si>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</si>
  <si>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</si>
  <si>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</si>
  <si>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</si>
  <si>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</si>
  <si>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</si>
  <si>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</si>
  <si>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</si>
  <si>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</si>
  <si>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</si>
  <si>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</si>
  <si>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</si>
  <si>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</si>
  <si>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</si>
  <si>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</si>
  <si>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</si>
  <si>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</si>
  <si>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</si>
  <si>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</si>
  <si>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</si>
  <si>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</si>
  <si>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</si>
  <si>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</si>
  <si>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</si>
  <si>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</si>
  <si>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</si>
  <si>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</si>
  <si>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</si>
  <si>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</si>
  <si>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</si>
  <si>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</si>
  <si>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</si>
  <si>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</si>
  <si>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</si>
  <si>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</si>
  <si>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</si>
  <si>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</si>
  <si>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</si>
  <si>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</si>
  <si>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</si>
  <si>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</si>
  <si>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</si>
  <si>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</si>
  <si>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</si>
  <si>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</si>
  <si>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</si>
  <si>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</si>
  <si>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</si>
  <si>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</si>
  <si>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</si>
  <si>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</si>
  <si>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</si>
  <si>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</si>
  <si>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</si>
  <si>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</si>
  <si>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</si>
  <si>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</si>
  <si>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</si>
  <si>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</si>
  <si>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</si>
  <si>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</si>
  <si>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</si>
  <si>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</si>
  <si>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</si>
  <si>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</si>
  <si>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</si>
  <si>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</si>
  <si>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</si>
  <si>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</si>
  <si>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</si>
  <si>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</si>
  <si>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</si>
  <si>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</si>
  <si>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</si>
  <si>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</si>
  <si>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</si>
  <si>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</si>
  <si>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</si>
  <si>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</si>
  <si>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</si>
  <si>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</si>
  <si>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</si>
  <si>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</si>
  <si>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</si>
  <si>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</si>
  <si>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</si>
  <si>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</si>
  <si>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</si>
  <si>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</si>
  <si>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</si>
  <si>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</si>
  <si>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</si>
  <si>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</si>
  <si>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</si>
  <si>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</si>
  <si>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</si>
  <si>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</si>
  <si>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</si>
  <si>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</si>
  <si>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</si>
  <si>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</si>
  <si>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</si>
  <si>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</si>
  <si>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</si>
  <si>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</si>
  <si>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</si>
  <si>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</si>
  <si>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</si>
  <si>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</si>
  <si>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</si>
  <si>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</si>
  <si>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</si>
  <si>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</si>
  <si>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</si>
  <si>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</si>
  <si>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</si>
  <si>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</si>
  <si>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</si>
  <si>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</si>
  <si>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</si>
  <si>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</si>
  <si>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</si>
  <si>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</si>
  <si>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</si>
  <si>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</si>
  <si>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</si>
  <si>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</si>
  <si>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</si>
  <si>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</si>
  <si>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</si>
  <si>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</si>
  <si>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</si>
  <si>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</si>
  <si>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</si>
  <si>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</si>
  <si>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</si>
  <si>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</si>
  <si>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</si>
  <si>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</si>
  <si>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</si>
  <si>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</si>
  <si>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</si>
  <si>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</si>
  <si>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</si>
  <si>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</si>
  <si>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</si>
  <si>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</si>
  <si>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</si>
  <si>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</si>
  <si>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</si>
  <si>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</si>
  <si>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</si>
  <si>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</si>
  <si>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</si>
  <si>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</si>
  <si>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</si>
  <si>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</si>
  <si>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</si>
  <si>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</si>
  <si>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</si>
  <si>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</si>
  <si>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</si>
  <si>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</si>
  <si>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</si>
  <si>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</si>
  <si>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</si>
  <si>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</si>
  <si>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</si>
  <si>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</si>
  <si>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</si>
  <si>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</si>
  <si>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</si>
  <si>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</si>
  <si>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</si>
  <si>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</si>
  <si>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</si>
  <si>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</si>
  <si>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</si>
  <si>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</si>
  <si>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</si>
  <si>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</si>
  <si>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</si>
  <si>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</si>
  <si>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</si>
  <si>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</si>
  <si>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</si>
  <si>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</si>
  <si>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</si>
  <si>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</si>
  <si>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</si>
  <si>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</si>
  <si>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</si>
  <si>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</si>
  <si>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</si>
  <si>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</si>
  <si>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</si>
  <si>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</si>
  <si>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</si>
  <si>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</si>
  <si>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</si>
  <si>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</si>
  <si>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</si>
  <si>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</si>
  <si>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</si>
  <si>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</si>
  <si>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</si>
  <si>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</si>
  <si>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</si>
  <si>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</si>
  <si>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</si>
  <si>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</si>
  <si>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</si>
  <si>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</si>
  <si>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</si>
  <si>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</si>
  <si>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</si>
  <si>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</si>
  <si>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</si>
  <si>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</si>
  <si>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</si>
  <si>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</si>
  <si>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</si>
  <si>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</si>
  <si>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</si>
  <si>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</si>
  <si>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</si>
  <si>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</si>
  <si>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</si>
  <si>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</si>
  <si>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</si>
  <si>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</si>
  <si>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</si>
  <si>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</si>
  <si>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</si>
  <si>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</si>
  <si>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</si>
  <si>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</si>
  <si>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</si>
  <si>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</si>
  <si>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</si>
  <si>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</si>
  <si>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</si>
  <si>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</si>
  <si>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</si>
  <si>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</si>
  <si>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</si>
  <si>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</si>
  <si>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</si>
  <si>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</si>
  <si>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</si>
  <si>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</si>
  <si>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</si>
  <si>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</si>
  <si>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</si>
  <si>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</si>
  <si>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</si>
  <si>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</si>
  <si>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</si>
  <si>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</si>
  <si>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</si>
  <si>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</si>
  <si>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</si>
  <si>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</si>
  <si>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</si>
  <si>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</si>
  <si>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</si>
  <si>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</si>
  <si>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</si>
  <si>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</si>
  <si>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</si>
  <si>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</si>
  <si>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</si>
  <si>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</si>
  <si>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</si>
  <si>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</si>
  <si>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</si>
  <si>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</si>
  <si>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</si>
  <si>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</si>
  <si>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</si>
  <si>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</si>
  <si>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</si>
  <si>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</si>
  <si>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</si>
  <si>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</si>
  <si>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</si>
  <si>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</si>
  <si>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</si>
  <si>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</si>
  <si>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</si>
  <si>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</si>
  <si>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</si>
  <si>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</si>
  <si>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</si>
  <si>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</si>
  <si>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</si>
  <si>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</si>
  <si>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</si>
  <si>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</si>
  <si>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</si>
  <si>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</si>
  <si>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</si>
  <si>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</si>
  <si>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</si>
  <si>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</si>
  <si>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</si>
  <si>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</si>
  <si>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</si>
  <si>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</si>
  <si>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</si>
  <si>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</si>
  <si>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</si>
  <si>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</si>
  <si>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</si>
  <si>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</si>
  <si>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</si>
  <si>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</si>
  <si>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</si>
  <si>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</si>
  <si>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</si>
  <si>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</si>
  <si>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</si>
  <si>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</si>
  <si>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</si>
  <si>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</si>
  <si>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</si>
  <si>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</si>
  <si>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</si>
  <si>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</si>
  <si>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</si>
  <si>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</si>
  <si>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</si>
  <si>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</si>
  <si>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</si>
  <si>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</si>
  <si>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</si>
  <si>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</si>
  <si>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</si>
  <si>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</si>
  <si>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</si>
  <si>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</si>
  <si>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</si>
  <si>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</si>
  <si>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</si>
  <si>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</si>
  <si>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</si>
  <si>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</si>
  <si>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</si>
  <si>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</si>
  <si>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</si>
  <si>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</si>
  <si>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</si>
  <si>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</si>
  <si>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</si>
  <si>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</si>
  <si>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</si>
  <si>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</si>
  <si>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</si>
  <si>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</si>
  <si>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</si>
  <si>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</si>
  <si>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</si>
  <si>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</si>
  <si>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</si>
  <si>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</si>
  <si>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</si>
  <si>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</si>
  <si>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</si>
  <si>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</si>
  <si>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</si>
  <si>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</si>
  <si>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</si>
  <si>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</si>
  <si>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</si>
  <si>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</si>
  <si>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</si>
  <si>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</si>
  <si>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</si>
  <si>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</si>
  <si>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</si>
  <si>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</si>
  <si>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</si>
  <si>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</si>
  <si>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</si>
  <si>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</si>
  <si>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</si>
  <si>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</si>
  <si>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</si>
  <si>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</si>
  <si>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</si>
  <si>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</si>
  <si>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</si>
  <si>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</si>
  <si>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</si>
  <si>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</si>
  <si>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</si>
  <si>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</si>
  <si>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</si>
  <si>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</si>
  <si>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</si>
  <si>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</si>
  <si>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</si>
  <si>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</si>
  <si>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</si>
  <si>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</si>
  <si>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</si>
  <si>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</si>
  <si>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</si>
  <si>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</si>
  <si>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</si>
  <si>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</si>
  <si>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</si>
  <si>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</si>
  <si>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</si>
  <si>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</si>
  <si>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</si>
  <si>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</si>
  <si>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</si>
  <si>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</si>
  <si>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</si>
  <si>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</si>
  <si>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</si>
  <si>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</si>
  <si>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</si>
  <si>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</si>
  <si>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</si>
  <si>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</si>
  <si>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</si>
  <si>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</si>
  <si>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</si>
  <si>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</si>
  <si>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</si>
  <si>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</si>
  <si>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</si>
  <si>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</si>
  <si>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</si>
  <si>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</si>
  <si>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</si>
  <si>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</si>
  <si>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</si>
  <si>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</si>
  <si>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</si>
  <si>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</si>
  <si>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</si>
  <si>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</si>
  <si>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</si>
  <si>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</si>
  <si>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</si>
  <si>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</si>
  <si>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</si>
  <si>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</si>
  <si>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</si>
  <si>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</si>
  <si>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</si>
  <si>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</si>
  <si>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</si>
  <si>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</si>
  <si>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</si>
  <si>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</si>
  <si>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</si>
  <si>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</si>
  <si>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</si>
  <si>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</si>
  <si>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</si>
  <si>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</si>
  <si>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</si>
  <si>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</si>
  <si>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</si>
  <si>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</si>
  <si>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</si>
  <si>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</si>
  <si>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</si>
  <si>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</si>
  <si>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</si>
  <si>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</si>
  <si>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</si>
  <si>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</si>
  <si>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</si>
  <si>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</si>
  <si>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</si>
  <si>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</si>
  <si>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</si>
  <si>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</si>
  <si>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</si>
  <si>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</si>
  <si>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</si>
  <si>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</si>
  <si>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</si>
  <si>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</si>
  <si>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</si>
  <si>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</si>
  <si>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</si>
  <si>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</si>
  <si>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</si>
  <si>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</si>
  <si>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</si>
  <si>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</si>
  <si>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</si>
  <si>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</si>
  <si>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</si>
  <si>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</si>
  <si>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</si>
  <si>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</si>
  <si>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</si>
  <si>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</si>
  <si>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</si>
  <si>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</si>
  <si>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</si>
  <si>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</si>
  <si>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</si>
  <si>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</si>
  <si>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</si>
  <si>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</si>
  <si>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</si>
  <si>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</si>
  <si>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</si>
  <si>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</si>
  <si>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</si>
  <si>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</si>
  <si>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</si>
  <si>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</si>
  <si>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</si>
  <si>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</si>
  <si>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</si>
  <si>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</si>
  <si>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</si>
  <si>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</si>
  <si>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</si>
  <si>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</si>
  <si>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</si>
  <si>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</si>
  <si>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</si>
  <si>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</si>
  <si>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</si>
  <si>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</si>
  <si>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</si>
  <si>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</si>
  <si>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</si>
  <si>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</si>
  <si>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</si>
  <si>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</si>
  <si>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</si>
  <si>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</si>
  <si>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</si>
  <si>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</si>
  <si>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</si>
  <si>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</si>
  <si>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</si>
  <si>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</si>
  <si>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</si>
  <si>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</si>
  <si>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</si>
  <si>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</si>
  <si>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</si>
  <si>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</si>
  <si>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</si>
  <si>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</si>
  <si>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</si>
  <si>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</si>
  <si>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</si>
  <si>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</si>
  <si>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</si>
  <si>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</si>
  <si>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</si>
  <si>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</si>
  <si>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</si>
  <si>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</si>
  <si>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</si>
  <si>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</si>
  <si>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</si>
  <si>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</si>
  <si>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</si>
  <si>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</si>
  <si>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</si>
  <si>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</si>
  <si>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</si>
  <si>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</si>
  <si>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</si>
  <si>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</si>
  <si>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</si>
  <si>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</si>
  <si>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</si>
  <si>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</si>
  <si>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</si>
  <si>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</si>
  <si>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</si>
  <si>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</si>
  <si>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</si>
  <si>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</si>
  <si>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</si>
  <si>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</si>
  <si>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</si>
  <si>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</si>
  <si>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</si>
  <si>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</si>
  <si>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</si>
  <si>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</si>
  <si>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</si>
  <si>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</si>
  <si>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</si>
  <si>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</si>
  <si>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</si>
  <si>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</si>
  <si>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</si>
  <si>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</si>
  <si>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</si>
  <si>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</si>
  <si>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</si>
  <si>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</si>
  <si>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</si>
  <si>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</si>
  <si>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</si>
  <si>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</si>
  <si>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</si>
  <si>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</si>
  <si>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</si>
  <si>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</si>
  <si>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</si>
  <si>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</si>
  <si>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</si>
  <si>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</si>
  <si>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</si>
  <si>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</si>
  <si>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</si>
  <si>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</si>
  <si>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</si>
  <si>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</si>
  <si>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</si>
  <si>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</si>
  <si>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</si>
  <si>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</si>
  <si>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</si>
  <si>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</si>
  <si>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</si>
  <si>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</si>
  <si>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</si>
  <si>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</si>
  <si>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</si>
  <si>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</si>
  <si>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</si>
  <si>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</si>
  <si>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</si>
  <si>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</si>
  <si>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</si>
  <si>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</si>
  <si>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</si>
  <si>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</si>
  <si>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</si>
  <si>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</si>
  <si>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</si>
  <si>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</si>
  <si>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</si>
  <si>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</si>
  <si>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</si>
  <si>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</si>
  <si>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</si>
  <si>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</si>
  <si>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</si>
  <si>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</si>
  <si>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</si>
  <si>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</si>
  <si>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</si>
  <si>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</si>
  <si>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</si>
  <si>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</si>
  <si>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</si>
  <si>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</si>
  <si>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</si>
  <si>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</si>
  <si>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</si>
  <si>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</si>
  <si>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</si>
  <si>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</si>
  <si>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</si>
  <si>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</si>
  <si>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</si>
  <si>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</si>
  <si>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</si>
  <si>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</si>
  <si>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</si>
  <si>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</si>
  <si>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</si>
  <si>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</si>
  <si>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</si>
  <si>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</si>
  <si>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</si>
  <si>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</si>
  <si>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</si>
  <si>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</si>
  <si>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</si>
  <si>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</si>
  <si>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</si>
  <si>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</si>
  <si>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</si>
  <si>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</si>
  <si>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</si>
  <si>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</si>
  <si>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</si>
  <si>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</si>
  <si>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</si>
  <si>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</si>
  <si>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</si>
  <si>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</si>
  <si>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</si>
  <si>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</si>
  <si>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</si>
  <si>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</si>
  <si>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</si>
  <si>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</si>
  <si>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</si>
  <si>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</si>
  <si>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</si>
  <si>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</si>
  <si>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</si>
  <si>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</si>
  <si>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</si>
  <si>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</si>
  <si>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</si>
  <si>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</si>
  <si>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</si>
  <si>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</si>
  <si>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</si>
  <si>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</si>
  <si>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</si>
  <si>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</si>
  <si>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</si>
  <si>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</si>
  <si>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</si>
  <si>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</si>
  <si>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</si>
  <si>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</si>
  <si>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</si>
  <si>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</si>
  <si>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</si>
  <si>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</si>
  <si>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</si>
  <si>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</si>
  <si>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</si>
  <si>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</si>
  <si>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</si>
  <si>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</si>
  <si>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</si>
  <si>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</si>
  <si>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</si>
  <si>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</si>
  <si>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</si>
  <si>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</si>
  <si>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</si>
  <si>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</si>
  <si>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</si>
  <si>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</si>
  <si>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</si>
  <si>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</si>
  <si>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</si>
  <si>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</si>
  <si>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</si>
  <si>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</si>
  <si>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</si>
  <si>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</si>
  <si>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</si>
  <si>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</si>
  <si>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</si>
  <si>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</si>
  <si>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</si>
  <si>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</si>
  <si>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</si>
  <si>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</si>
  <si>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</si>
  <si>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</si>
  <si>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</si>
  <si>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</si>
  <si>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</si>
  <si>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</si>
  <si>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</si>
  <si>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</si>
  <si>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</si>
  <si>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</si>
  <si>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</si>
  <si>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</si>
  <si>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</si>
  <si>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</si>
  <si>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</si>
  <si>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</si>
  <si>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</si>
  <si>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</si>
  <si>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</si>
  <si>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</si>
  <si>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</si>
  <si>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</si>
  <si>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</si>
  <si>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</si>
  <si>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</si>
  <si>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</si>
  <si>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</si>
  <si>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</si>
  <si>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</si>
  <si>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</si>
  <si>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</si>
  <si>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</si>
  <si>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</si>
  <si>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</si>
  <si>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</si>
  <si>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</si>
  <si>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</si>
  <si>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</si>
  <si>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</si>
  <si>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</si>
  <si>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</si>
  <si>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</si>
  <si>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</si>
  <si>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</si>
  <si>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</si>
  <si>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</si>
  <si>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</si>
  <si>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</si>
  <si>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</si>
  <si>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</si>
  <si>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</si>
  <si>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</si>
  <si>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</si>
  <si>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</si>
  <si>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</si>
  <si>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</si>
  <si>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</si>
  <si>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</si>
  <si>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</si>
  <si>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</si>
  <si>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</si>
  <si>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</si>
  <si>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</si>
  <si>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</si>
  <si>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</si>
  <si>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</si>
  <si>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</si>
  <si>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</si>
  <si>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</si>
  <si>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</si>
  <si>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</si>
  <si>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</si>
  <si>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</si>
  <si>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</si>
  <si>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</si>
  <si>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</si>
  <si>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</si>
  <si>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</si>
  <si>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</si>
  <si>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</si>
  <si>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</si>
  <si>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</si>
  <si>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</si>
  <si>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</si>
  <si>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</si>
  <si>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</si>
  <si>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</si>
  <si>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</si>
  <si>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</si>
  <si>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</si>
  <si>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</si>
  <si>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</si>
  <si>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</si>
  <si>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</si>
  <si>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</si>
  <si>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</si>
  <si>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</si>
  <si>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</si>
  <si>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</si>
  <si>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</si>
  <si>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</si>
  <si>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</si>
  <si>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</si>
  <si>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</si>
  <si>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</si>
  <si>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</si>
  <si>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</si>
  <si>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</si>
  <si>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</si>
  <si>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</si>
  <si>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</si>
  <si>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</si>
  <si>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</si>
  <si>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</si>
  <si>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</si>
  <si>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</si>
  <si>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</si>
  <si>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</si>
  <si>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</si>
  <si>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</si>
  <si>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</si>
  <si>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</si>
  <si>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</si>
  <si>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</si>
  <si>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</si>
  <si>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</si>
  <si>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</si>
  <si>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</si>
  <si>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</si>
  <si>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</si>
  <si>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</si>
  <si>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</si>
  <si>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</si>
  <si>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</si>
  <si>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</si>
  <si>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</si>
  <si>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</si>
  <si>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</si>
  <si>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</si>
  <si>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</si>
  <si>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</si>
  <si>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</si>
  <si>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</si>
  <si>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</si>
  <si>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</si>
  <si>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</si>
  <si>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</si>
  <si>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</si>
  <si>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</si>
  <si>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</si>
  <si>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</si>
  <si>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</si>
  <si>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</si>
  <si>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</si>
  <si>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</si>
  <si>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</si>
  <si>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</si>
  <si>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</si>
  <si>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</si>
  <si>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</si>
  <si>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</si>
  <si>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</si>
  <si>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</si>
  <si>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</si>
  <si>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</si>
  <si>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</si>
  <si>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</si>
  <si>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</si>
  <si>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</si>
  <si>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</si>
  <si>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</si>
  <si>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</si>
  <si>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</si>
  <si>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</si>
  <si>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</si>
  <si>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</si>
  <si>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</si>
  <si>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</si>
  <si>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</si>
  <si>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</si>
  <si>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</si>
  <si>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</si>
  <si>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</si>
  <si>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</si>
  <si>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</si>
  <si>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</si>
  <si>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</si>
  <si>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</si>
  <si>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</si>
  <si>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</si>
  <si>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</si>
  <si>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</si>
  <si>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</si>
  <si>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</si>
  <si>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</si>
  <si>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</si>
  <si>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</si>
  <si>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</si>
  <si>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</si>
  <si>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</si>
  <si>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</si>
  <si>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</si>
  <si>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</si>
  <si>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</si>
  <si>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</si>
  <si>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</si>
  <si>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</si>
  <si>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</si>
  <si>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</si>
  <si>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</si>
  <si>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</si>
  <si>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</si>
  <si>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</si>
  <si>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</si>
  <si>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</si>
  <si>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</si>
  <si>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</si>
  <si>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</si>
  <si>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</si>
  <si>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</si>
  <si>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</si>
  <si>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</si>
  <si>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</si>
  <si>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</si>
  <si>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</si>
  <si>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</si>
  <si>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</si>
  <si>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</si>
  <si>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</si>
  <si>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</si>
  <si>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</si>
  <si>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</si>
  <si>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</si>
  <si>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</si>
  <si>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</si>
  <si>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</si>
  <si>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</si>
  <si>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</si>
  <si>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</si>
  <si>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</si>
  <si>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</si>
  <si>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</si>
  <si>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</si>
  <si>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</si>
  <si>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</si>
  <si>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</si>
  <si>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</si>
  <si>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</si>
  <si>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</si>
  <si>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</si>
  <si>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</si>
  <si>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</si>
  <si>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</si>
  <si>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</si>
  <si>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</si>
  <si>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</si>
  <si>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</si>
  <si>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</si>
  <si>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</si>
  <si>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</si>
  <si>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</si>
  <si>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</si>
  <si>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</si>
  <si>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</si>
  <si>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</si>
  <si>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</si>
  <si>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</si>
  <si>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</si>
  <si>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</si>
  <si>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</si>
  <si>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</si>
  <si>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</si>
  <si>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</si>
  <si>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</si>
  <si>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</si>
  <si>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</si>
  <si>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</si>
  <si>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</si>
  <si>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</si>
  <si>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</si>
  <si>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</si>
  <si>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</si>
  <si>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</si>
  <si>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</si>
  <si>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</si>
  <si>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</si>
  <si>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</si>
  <si>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</si>
  <si>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</si>
  <si>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</si>
  <si>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</si>
  <si>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</si>
  <si>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</si>
  <si>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</si>
  <si>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</si>
  <si>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</si>
  <si>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</si>
  <si>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</si>
  <si>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</si>
  <si>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</si>
  <si>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</si>
  <si>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</si>
  <si>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</si>
  <si>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</si>
  <si>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</si>
  <si>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</si>
  <si>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</si>
  <si>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</si>
  <si>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</si>
  <si>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</si>
  <si>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</si>
  <si>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</si>
  <si>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</si>
  <si>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</si>
  <si>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</si>
  <si>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</si>
  <si>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</si>
  <si>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</si>
  <si>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</si>
  <si>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</si>
  <si>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</si>
  <si>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</si>
  <si>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</si>
  <si>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</si>
  <si>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</si>
  <si>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</si>
  <si>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</si>
  <si>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</si>
  <si>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</si>
  <si>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</si>
  <si>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</si>
  <si>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</si>
  <si>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</si>
  <si>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</si>
  <si>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</si>
  <si>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</si>
  <si>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</si>
  <si>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</si>
  <si>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</si>
  <si>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</si>
  <si>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</si>
  <si>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</si>
  <si>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</si>
  <si>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</si>
  <si>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</si>
  <si>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</si>
  <si>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</si>
  <si>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</si>
  <si>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</si>
  <si>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</si>
  <si>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</si>
  <si>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</si>
  <si>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</si>
  <si>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</si>
  <si>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</si>
  <si>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</si>
  <si>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</si>
  <si>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</si>
  <si>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</si>
  <si>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</si>
  <si>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</si>
  <si>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</si>
  <si>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</si>
  <si>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</si>
  <si>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</si>
  <si>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</si>
  <si>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</si>
  <si>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</si>
  <si>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</si>
  <si>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</si>
  <si>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</si>
  <si>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</si>
  <si>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</si>
  <si>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</si>
  <si>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</si>
  <si>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</si>
  <si>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</si>
  <si>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</si>
  <si>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</si>
  <si>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</si>
  <si>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</si>
  <si>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</si>
  <si>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</si>
  <si>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</si>
  <si>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</si>
  <si>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</si>
  <si>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</si>
  <si>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</si>
  <si>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</si>
  <si>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</si>
  <si>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</si>
  <si>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</si>
  <si>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</si>
  <si>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</si>
  <si>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</si>
  <si>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</si>
  <si>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</si>
  <si>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</si>
  <si>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</si>
  <si>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</si>
  <si>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</si>
  <si>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</si>
  <si>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</si>
  <si>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</si>
  <si>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</si>
  <si>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</si>
  <si>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</si>
  <si>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</si>
  <si>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</si>
  <si>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</si>
  <si>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</si>
  <si>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</si>
  <si>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</si>
  <si>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</si>
  <si>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</si>
  <si>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</si>
  <si>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</si>
  <si>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</si>
  <si>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</si>
  <si>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</si>
  <si>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</si>
  <si>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</si>
  <si>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</si>
  <si>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</si>
  <si>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</si>
  <si>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</si>
  <si>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</si>
  <si>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</si>
  <si>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</si>
  <si>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</si>
  <si>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</si>
  <si>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</si>
  <si>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</si>
  <si>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</si>
  <si>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</si>
  <si>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</si>
  <si>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</si>
  <si>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</si>
  <si>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</si>
  <si>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</si>
  <si>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</si>
  <si>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</si>
  <si>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</si>
  <si>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</si>
  <si>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</si>
  <si>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</si>
  <si>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</si>
  <si>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</si>
  <si>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</si>
  <si>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</si>
  <si>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</si>
  <si>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</si>
  <si>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</si>
  <si>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</si>
  <si>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</si>
  <si>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</si>
  <si>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</si>
  <si>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</si>
  <si>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</si>
  <si>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</si>
  <si>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</si>
  <si>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</si>
  <si>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</si>
  <si>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</si>
  <si>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</si>
  <si>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</si>
  <si>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</si>
  <si>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</si>
  <si>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</si>
  <si>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</si>
  <si>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</si>
  <si>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</si>
  <si>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</si>
  <si>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</si>
  <si>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</si>
  <si>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</si>
  <si>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</si>
  <si>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</si>
  <si>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</si>
  <si>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</si>
  <si>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</si>
  <si>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</si>
  <si>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</si>
  <si>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</si>
  <si>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</si>
  <si>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</si>
  <si>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</si>
  <si>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</si>
  <si>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</si>
  <si>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</si>
  <si>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</si>
  <si>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</si>
  <si>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</si>
  <si>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</si>
  <si>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</si>
  <si>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</si>
  <si>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</si>
  <si>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</si>
  <si>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</si>
  <si>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</si>
  <si>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</si>
  <si>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</si>
  <si>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</si>
  <si>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</si>
  <si>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</si>
  <si>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</si>
  <si>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</si>
  <si>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</si>
  <si>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</si>
  <si>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</si>
  <si>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</si>
  <si>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</si>
  <si>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</si>
  <si>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</si>
  <si>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</si>
  <si>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</si>
  <si>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</si>
  <si>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</si>
  <si>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</si>
  <si>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</si>
  <si>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</si>
  <si>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</si>
  <si>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</si>
  <si>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</si>
  <si>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</si>
  <si>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</si>
  <si>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</si>
  <si>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</si>
  <si>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</si>
  <si>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</si>
  <si>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</si>
  <si>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</si>
  <si>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</si>
  <si>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</si>
  <si>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</si>
  <si>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</si>
  <si>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</si>
  <si>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</si>
  <si>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</si>
  <si>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</si>
  <si>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</si>
  <si>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</si>
  <si>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</si>
  <si>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</si>
  <si>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</si>
  <si>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</si>
  <si>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</si>
  <si>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</si>
  <si>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</si>
  <si>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</si>
  <si>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</si>
  <si>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</si>
  <si>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</si>
  <si>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</si>
  <si>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</si>
  <si>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</si>
  <si>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</si>
  <si>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</si>
  <si>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</si>
  <si>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</si>
  <si>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</si>
  <si>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</si>
  <si>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</si>
  <si>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</si>
  <si>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</si>
  <si>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</si>
  <si>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</si>
  <si>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</si>
  <si>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</si>
  <si>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</si>
  <si>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</si>
  <si>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</si>
  <si>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</si>
  <si>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</si>
  <si>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</si>
  <si>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</si>
  <si>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</si>
  <si>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</si>
  <si>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</si>
  <si>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</si>
  <si>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</si>
  <si>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</si>
  <si>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</si>
  <si>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</si>
  <si>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</si>
  <si>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</si>
  <si>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</si>
  <si>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</si>
  <si>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</si>
  <si>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</si>
  <si>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</si>
  <si>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</si>
  <si>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</si>
  <si>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</si>
  <si>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</si>
  <si>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</si>
  <si>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</si>
  <si>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</si>
  <si>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</si>
  <si>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</si>
  <si>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</si>
  <si>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</si>
  <si>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</si>
  <si>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</si>
  <si>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</si>
  <si>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</si>
  <si>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</si>
  <si>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</si>
  <si>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</si>
  <si>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</si>
  <si>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</si>
  <si>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</si>
  <si>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</si>
  <si>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</si>
  <si>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</si>
  <si>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</si>
  <si>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</si>
  <si>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</si>
  <si>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</si>
  <si>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</si>
  <si>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</si>
  <si>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</si>
  <si>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</si>
  <si>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</si>
  <si>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</si>
  <si>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</si>
  <si>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</si>
  <si>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</si>
  <si>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</si>
  <si>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</si>
  <si>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</si>
  <si>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</si>
  <si>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</si>
  <si>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</si>
  <si>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</si>
  <si>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</si>
  <si>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</si>
  <si>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</si>
  <si>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</si>
  <si>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</si>
  <si>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</si>
  <si>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</si>
  <si>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</si>
  <si>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</si>
  <si>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</si>
  <si>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</si>
  <si>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</si>
  <si>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</si>
  <si>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</si>
  <si>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</si>
  <si>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</si>
  <si>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</si>
  <si>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</si>
  <si>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</si>
  <si>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</si>
  <si>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</si>
  <si>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</si>
  <si>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</si>
  <si>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</si>
  <si>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</si>
  <si>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</si>
  <si>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</si>
  <si>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</si>
  <si>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</si>
  <si>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</si>
  <si>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</si>
  <si>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</si>
  <si>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</si>
  <si>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</si>
  <si>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</si>
  <si>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</si>
  <si>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</si>
  <si>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</si>
  <si>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</si>
  <si>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</si>
  <si>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</si>
  <si>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</si>
  <si>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</si>
  <si>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</si>
  <si>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</si>
  <si>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</si>
  <si>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</si>
  <si>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</si>
  <si>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</si>
  <si>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</si>
  <si>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</si>
  <si>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</si>
  <si>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</si>
  <si>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</si>
  <si>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</si>
  <si>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</si>
  <si>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</si>
  <si>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</si>
  <si>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</si>
  <si>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</si>
  <si>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</si>
  <si>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</si>
  <si>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</si>
  <si>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</si>
  <si>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</si>
  <si>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</si>
  <si>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</si>
  <si>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</si>
  <si>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</si>
  <si>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</si>
  <si>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</si>
  <si>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</si>
  <si>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</si>
  <si>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</si>
  <si>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</si>
  <si>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</si>
  <si>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</si>
  <si>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</si>
  <si>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</si>
  <si>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</si>
  <si>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</si>
  <si>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</si>
  <si>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</si>
  <si>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</si>
  <si>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</si>
  <si>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</si>
  <si>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</si>
  <si>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</si>
  <si>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</si>
  <si>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</si>
  <si>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</si>
  <si>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</si>
  <si>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</si>
  <si>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</si>
  <si>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</si>
  <si>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</si>
  <si>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</si>
  <si>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</si>
  <si>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</si>
  <si>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</si>
  <si>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</si>
  <si>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</si>
  <si>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</si>
  <si>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</si>
  <si>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</si>
  <si>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</si>
  <si>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</si>
  <si>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</si>
  <si>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</si>
  <si>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</si>
  <si>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</si>
  <si>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</si>
  <si>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</si>
  <si>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</si>
  <si>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</si>
  <si>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</si>
  <si>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</si>
  <si>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</si>
  <si>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</si>
  <si>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</si>
  <si>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</si>
  <si>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</si>
  <si>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</si>
  <si>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</si>
  <si>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</si>
  <si>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</si>
  <si>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</si>
  <si>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</si>
  <si>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</si>
  <si>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</si>
  <si>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</si>
  <si>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</si>
  <si>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</si>
  <si>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</si>
  <si>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</si>
  <si>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</si>
  <si>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</si>
  <si>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</si>
  <si>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</si>
  <si>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</si>
  <si>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</si>
  <si>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</si>
  <si>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</si>
  <si>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</si>
  <si>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</si>
  <si>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</si>
  <si>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</si>
  <si>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</si>
  <si>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</si>
  <si>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</si>
  <si>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</si>
  <si>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</si>
  <si>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</si>
  <si>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</si>
  <si>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</si>
  <si>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</si>
  <si>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</si>
  <si>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</si>
  <si>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</si>
  <si>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</si>
  <si>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</si>
  <si>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</si>
  <si>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</si>
  <si>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</si>
  <si>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</si>
  <si>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</si>
  <si>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</si>
  <si>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</si>
  <si>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</si>
  <si>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</si>
  <si>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</si>
  <si>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</si>
  <si>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</si>
  <si>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</si>
  <si>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</si>
  <si>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</si>
  <si>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</si>
  <si>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</si>
  <si>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</si>
  <si>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</si>
  <si>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</si>
  <si>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</si>
  <si>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</si>
  <si>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</si>
  <si>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</si>
  <si>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</si>
  <si>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</si>
  <si>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</si>
  <si>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</si>
  <si>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</si>
  <si>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</si>
  <si>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</si>
  <si>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</si>
  <si>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</si>
  <si>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</si>
  <si>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</si>
  <si>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</si>
  <si>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</si>
  <si>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</si>
  <si>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</si>
  <si>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</si>
  <si>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</si>
  <si>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</si>
  <si>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</si>
  <si>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</si>
  <si>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</si>
  <si>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</si>
  <si>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</si>
  <si>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</si>
  <si>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</si>
  <si>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</si>
  <si>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</si>
  <si>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</si>
  <si>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</si>
  <si>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</si>
  <si>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</si>
  <si>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</si>
  <si>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</si>
  <si>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</si>
  <si>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</si>
  <si>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</si>
  <si>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</si>
  <si>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</si>
  <si>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</si>
  <si>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</si>
  <si>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</si>
  <si>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</si>
  <si>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</si>
  <si>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</si>
  <si>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</si>
  <si>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</si>
  <si>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</si>
  <si>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</si>
  <si>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</si>
  <si>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</si>
  <si>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</si>
  <si>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</si>
  <si>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</si>
  <si>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</si>
  <si>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</si>
  <si>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</si>
  <si>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</si>
  <si>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</si>
  <si>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</si>
  <si>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</si>
  <si>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</si>
  <si>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</si>
  <si>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</si>
  <si>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</si>
  <si>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</si>
  <si>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</si>
  <si>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</si>
  <si>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</si>
  <si>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</si>
  <si>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</si>
  <si>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</si>
  <si>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</si>
  <si>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</si>
  <si>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</si>
  <si>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</si>
  <si>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</si>
  <si>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</si>
  <si>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</si>
  <si>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</si>
  <si>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</si>
  <si>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</si>
  <si>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</si>
  <si>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</si>
  <si>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</si>
  <si>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</si>
  <si>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</si>
  <si>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</si>
  <si>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</si>
  <si>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</si>
  <si>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</si>
  <si>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</si>
  <si>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</si>
  <si>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</si>
  <si>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</si>
  <si>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</si>
  <si>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</si>
  <si>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</si>
  <si>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</si>
  <si>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</si>
  <si>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</si>
  <si>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</si>
  <si>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</si>
  <si>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</si>
  <si>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</si>
  <si>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</si>
  <si>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</si>
  <si>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</si>
  <si>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</si>
  <si>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</si>
  <si>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</si>
  <si>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</si>
  <si>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</si>
  <si>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</si>
  <si>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</si>
  <si>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</si>
  <si>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</si>
  <si>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</si>
  <si>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</si>
  <si>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</si>
  <si>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</si>
  <si>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</si>
  <si>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</si>
  <si>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</si>
  <si>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</si>
  <si>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</si>
  <si>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</si>
  <si>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</si>
  <si>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</si>
  <si>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</si>
  <si>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</si>
  <si>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</si>
  <si>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</si>
  <si>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</si>
  <si>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</si>
  <si>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</si>
  <si>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</si>
  <si>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</si>
  <si>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</si>
  <si>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</si>
  <si>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</si>
  <si>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</si>
  <si>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</si>
  <si>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</si>
  <si>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</si>
  <si>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</si>
  <si>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</si>
  <si>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</si>
  <si>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</si>
  <si>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</si>
  <si>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</si>
  <si>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</si>
  <si>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</si>
  <si>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</si>
  <si>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</si>
  <si>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</si>
  <si>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</si>
  <si>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</si>
  <si>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</si>
  <si>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</si>
  <si>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</si>
  <si>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</si>
  <si>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</si>
  <si>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</si>
  <si>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</si>
  <si>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</si>
  <si>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</si>
  <si>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</si>
  <si>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</si>
  <si>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</si>
  <si>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</si>
  <si>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</si>
  <si>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</si>
  <si>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</si>
  <si>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</si>
  <si>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</si>
  <si>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</si>
  <si>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</si>
  <si>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</si>
  <si>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</si>
  <si>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</si>
  <si>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</si>
  <si>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</si>
  <si>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</si>
  <si>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</si>
  <si>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</si>
  <si>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</si>
  <si>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</si>
  <si>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</si>
  <si>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</si>
  <si>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</si>
  <si>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</si>
  <si>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</si>
  <si>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</si>
  <si>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</si>
  <si>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</si>
  <si>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</si>
  <si>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</si>
  <si>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</si>
  <si>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</si>
  <si>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</si>
  <si>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</si>
  <si>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</si>
  <si>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</si>
  <si>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</si>
  <si>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</si>
  <si>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</si>
  <si>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</si>
  <si>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</si>
  <si>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</si>
  <si>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</si>
  <si>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</si>
  <si>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</si>
  <si>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</si>
  <si>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</si>
  <si>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</si>
  <si>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</si>
  <si>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</si>
  <si>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</si>
  <si>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</si>
  <si>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</si>
  <si>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</si>
  <si>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</si>
  <si>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</si>
  <si>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</si>
  <si>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</si>
  <si>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</si>
  <si>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</si>
  <si>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</si>
  <si>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</si>
  <si>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</si>
  <si>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</si>
  <si>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</si>
  <si>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</si>
  <si>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</si>
  <si>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</si>
  <si>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</si>
  <si>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</si>
  <si>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</si>
  <si>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</si>
  <si>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</si>
  <si>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</si>
  <si>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</si>
  <si>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</si>
  <si>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</si>
  <si>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</si>
  <si>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</si>
  <si>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</si>
  <si>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</si>
  <si>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</si>
  <si>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</si>
  <si>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</si>
  <si>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</si>
  <si>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</si>
  <si>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</si>
  <si>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</si>
  <si>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</si>
  <si>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</si>
  <si>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</si>
  <si>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</si>
  <si>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</si>
  <si>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</si>
  <si>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</si>
  <si>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</si>
  <si>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</si>
  <si>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</si>
  <si>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</si>
  <si>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</si>
  <si>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</si>
  <si>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</si>
  <si>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</si>
  <si>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</si>
  <si>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</si>
  <si>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</si>
  <si>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</si>
  <si>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</si>
  <si>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</si>
  <si>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</si>
  <si>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</si>
  <si>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</si>
  <si>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</si>
  <si>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</si>
  <si>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</si>
  <si>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</si>
  <si>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</si>
  <si>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</si>
  <si>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</si>
  <si>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</si>
  <si>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</si>
  <si>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</si>
  <si>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</si>
  <si>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</si>
  <si>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</si>
  <si>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</si>
  <si>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</si>
  <si>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</si>
  <si>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</si>
  <si>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</si>
  <si>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</si>
  <si>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</si>
  <si>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</si>
  <si>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</si>
  <si>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</si>
  <si>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</si>
  <si>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</si>
  <si>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</si>
  <si>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</si>
  <si>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</si>
  <si>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</si>
  <si>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</si>
  <si>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</si>
  <si>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</si>
  <si>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</si>
  <si>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</si>
  <si>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</si>
  <si>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</si>
  <si>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</si>
  <si>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</si>
  <si>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</si>
  <si>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</si>
  <si>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</si>
  <si>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</si>
  <si>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</si>
  <si>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</si>
  <si>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</si>
  <si>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</si>
  <si>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</si>
  <si>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</si>
  <si>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</si>
  <si>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</si>
  <si>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</si>
  <si>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</si>
  <si>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</si>
  <si>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</si>
  <si>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</si>
  <si>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</si>
  <si>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</si>
  <si>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</si>
  <si>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</si>
  <si>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</si>
  <si>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</si>
  <si>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</si>
  <si>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</si>
  <si>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</si>
  <si>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</si>
  <si>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</si>
  <si>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</si>
  <si>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</si>
  <si>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</si>
  <si>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</si>
  <si>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</si>
  <si>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</si>
  <si>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</si>
  <si>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</si>
  <si>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</si>
  <si>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</si>
  <si>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</si>
  <si>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</si>
  <si>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</si>
  <si>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</si>
  <si>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</si>
  <si>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</si>
  <si>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</si>
  <si>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</si>
  <si>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</si>
  <si>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</si>
  <si>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</si>
  <si>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</si>
  <si>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</si>
  <si>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</si>
  <si>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</si>
  <si>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</si>
  <si>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</si>
  <si>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</si>
  <si>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</si>
  <si>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</si>
  <si>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</si>
  <si>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</si>
  <si>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</si>
  <si>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</si>
  <si>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</si>
  <si>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</si>
  <si>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</si>
  <si>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</si>
  <si>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</si>
  <si>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</si>
  <si>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</si>
  <si>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</si>
  <si>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</si>
  <si>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</si>
  <si>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</si>
  <si>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</si>
  <si>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</si>
  <si>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</si>
  <si>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</si>
  <si>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</si>
  <si>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</si>
  <si>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</si>
  <si>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</si>
  <si>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</si>
  <si>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</si>
  <si>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</si>
  <si>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</si>
  <si>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</si>
  <si>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</si>
  <si>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</si>
  <si>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</si>
  <si>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</si>
  <si>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</si>
  <si>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</si>
  <si>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</si>
  <si>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</si>
  <si>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</si>
  <si>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</si>
  <si>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</si>
  <si>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</si>
  <si>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</si>
  <si>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</si>
  <si>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</si>
  <si>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</si>
  <si>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</si>
  <si>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</si>
  <si>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</si>
  <si>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</si>
  <si>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</si>
  <si>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</si>
  <si>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</si>
  <si>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</si>
  <si>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</si>
  <si>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</si>
  <si>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</si>
  <si>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</si>
  <si>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</si>
  <si>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</si>
  <si>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</si>
  <si>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</si>
  <si>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</si>
  <si>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</si>
  <si>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</si>
  <si>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</si>
  <si>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</si>
  <si>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</si>
  <si>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</si>
  <si>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</si>
  <si>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</si>
  <si>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</si>
  <si>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</si>
  <si>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</si>
  <si>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</si>
  <si>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</si>
  <si>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</si>
  <si>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</si>
  <si>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</si>
  <si>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</si>
  <si>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</si>
  <si>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</si>
  <si>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</si>
  <si>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</si>
  <si>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</si>
  <si>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</si>
  <si>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</si>
  <si>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</si>
  <si>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</si>
  <si>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</si>
  <si>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</si>
  <si>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</si>
  <si>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</si>
  <si>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</si>
  <si>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</si>
  <si>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</si>
  <si>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</si>
  <si>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</si>
  <si>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</si>
  <si>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</si>
  <si>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</si>
  <si>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</si>
  <si>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</si>
  <si>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</si>
  <si>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</si>
  <si>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</si>
  <si>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</si>
  <si>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</si>
  <si>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</si>
  <si>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</si>
  <si>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</si>
  <si>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</si>
  <si>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</si>
  <si>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</si>
  <si>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</si>
  <si>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</si>
  <si>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</si>
  <si>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</si>
  <si>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</si>
  <si>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</si>
  <si>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</si>
  <si>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</si>
  <si>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</si>
  <si>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</si>
  <si>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</si>
  <si>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</si>
  <si>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</si>
  <si>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</si>
  <si>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</si>
  <si>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</si>
  <si>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</si>
  <si>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</si>
  <si>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</si>
  <si>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</si>
  <si>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</si>
  <si>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</si>
  <si>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</si>
  <si>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</si>
  <si>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</si>
  <si>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</si>
  <si>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</si>
  <si>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</si>
  <si>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</si>
  <si>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</si>
  <si>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</si>
  <si>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</si>
  <si>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</si>
  <si>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</si>
  <si>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</si>
  <si>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</si>
  <si>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</si>
  <si>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</si>
  <si>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</si>
  <si>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</si>
  <si>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</si>
  <si>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</si>
  <si>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</si>
  <si>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</si>
  <si>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</si>
  <si>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</si>
  <si>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</si>
  <si>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</si>
  <si>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</si>
  <si>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</si>
  <si>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</si>
  <si>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</si>
  <si>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</si>
  <si>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</si>
  <si>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</si>
  <si>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</si>
  <si>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</si>
  <si>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</si>
  <si>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</si>
  <si>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</si>
  <si>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</si>
  <si>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</si>
  <si>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</si>
  <si>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</si>
  <si>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</si>
  <si>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</si>
  <si>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</si>
  <si>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</si>
  <si>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</si>
  <si>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</si>
  <si>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</si>
  <si>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</si>
  <si>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</si>
  <si>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</si>
  <si>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</si>
  <si>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</si>
  <si>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</si>
  <si>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</si>
  <si>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</si>
  <si>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</si>
  <si>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</si>
  <si>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</si>
  <si>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</si>
  <si>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</si>
  <si>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</si>
  <si>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</si>
  <si>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</si>
  <si>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</si>
  <si>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</si>
  <si>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</si>
  <si>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</si>
  <si>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</si>
  <si>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</si>
  <si>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</si>
  <si>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</si>
  <si>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</si>
  <si>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</si>
  <si>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</si>
  <si>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</si>
  <si>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</si>
  <si>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</si>
  <si>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</si>
  <si>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</si>
  <si>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</si>
  <si>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</si>
  <si>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</si>
  <si>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</si>
  <si>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</si>
  <si>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</si>
  <si>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</si>
  <si>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</si>
  <si>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</si>
  <si>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</si>
  <si>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</si>
  <si>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</si>
  <si>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</si>
  <si>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</si>
  <si>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</si>
  <si>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</si>
  <si>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</si>
  <si>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</si>
  <si>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</si>
  <si>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</si>
  <si>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</si>
  <si>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</si>
  <si>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</si>
  <si>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</si>
  <si>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</si>
  <si>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</si>
  <si>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</si>
  <si>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</si>
  <si>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</si>
  <si>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</si>
  <si>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</si>
  <si>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</si>
  <si>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</si>
  <si>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</si>
  <si>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</si>
  <si>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</si>
  <si>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</si>
  <si>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</si>
  <si>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</si>
  <si>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</si>
  <si>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</si>
  <si>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</si>
  <si>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</si>
  <si>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</si>
  <si>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</si>
  <si>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</si>
  <si>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</si>
  <si>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</si>
  <si>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</si>
  <si>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</si>
  <si>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</si>
  <si>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</si>
  <si>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</si>
  <si>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</si>
  <si>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</si>
  <si>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</si>
  <si>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</si>
  <si>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</si>
  <si>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</si>
  <si>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</si>
  <si>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</si>
  <si>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</si>
  <si>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</si>
  <si>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</si>
  <si>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</si>
  <si>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</si>
  <si>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</si>
  <si>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</si>
  <si>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</si>
  <si>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</si>
  <si>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</si>
  <si>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</si>
  <si>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</si>
  <si>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</si>
  <si>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</si>
  <si>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</si>
  <si>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</si>
  <si>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</si>
  <si>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</si>
  <si>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</si>
  <si>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</si>
  <si>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</si>
  <si>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</si>
  <si>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</si>
  <si>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</si>
  <si>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</si>
  <si>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</si>
  <si>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</si>
  <si>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</si>
  <si>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</si>
  <si>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</si>
  <si>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</si>
  <si>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</si>
  <si>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</si>
  <si>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</si>
  <si>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</si>
  <si>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</si>
  <si>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</si>
  <si>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</si>
  <si>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</si>
  <si>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</si>
  <si>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</si>
  <si>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</si>
  <si>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</si>
  <si>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</si>
  <si>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</si>
  <si>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</si>
  <si>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</si>
  <si>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</si>
  <si>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</si>
  <si>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</si>
  <si>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</si>
  <si>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</si>
  <si>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</si>
  <si>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</si>
  <si>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</si>
  <si>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</si>
  <si>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</si>
  <si>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</si>
  <si>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</si>
  <si>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</si>
  <si>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</si>
  <si>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</si>
  <si>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</si>
  <si>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</si>
  <si>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</si>
  <si>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</si>
  <si>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</si>
  <si>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</si>
  <si>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</si>
  <si>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</si>
  <si>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</si>
  <si>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</si>
  <si>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</si>
  <si>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</si>
  <si>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</si>
  <si>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</si>
  <si>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</si>
  <si>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</si>
  <si>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</si>
  <si>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</si>
  <si>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</si>
  <si>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</si>
  <si>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</si>
  <si>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</si>
  <si>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</si>
  <si>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</si>
  <si>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</si>
  <si>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</si>
  <si>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</si>
  <si>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</si>
  <si>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</si>
  <si>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</si>
  <si>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</si>
  <si>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</si>
  <si>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</si>
  <si>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</si>
  <si>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</si>
  <si>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</si>
  <si>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</si>
  <si>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</si>
  <si>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</si>
  <si>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</si>
  <si>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</si>
  <si>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</si>
  <si>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</si>
  <si>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</si>
  <si>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</si>
  <si>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</si>
  <si>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</si>
  <si>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</si>
  <si>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</si>
  <si>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</si>
  <si>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</si>
  <si>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</si>
  <si>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</si>
  <si>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</si>
  <si>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</si>
  <si>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</si>
  <si>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</si>
  <si>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</si>
  <si>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</si>
  <si>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</si>
  <si>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</si>
  <si>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</si>
  <si>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</si>
  <si>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</si>
  <si>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</si>
  <si>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</si>
  <si>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</si>
  <si>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</si>
  <si>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</si>
  <si>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</si>
  <si>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</si>
  <si>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</si>
  <si>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</si>
  <si>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</si>
  <si>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</si>
  <si>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</si>
  <si>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</si>
  <si>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</si>
  <si>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</si>
  <si>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</si>
  <si>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</si>
  <si>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</si>
  <si>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</si>
  <si>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</si>
  <si>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</si>
  <si>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</si>
  <si>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</si>
  <si>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</si>
  <si>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</si>
  <si>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</si>
  <si>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</si>
  <si>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</si>
  <si>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</si>
  <si>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</si>
  <si>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</si>
  <si>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</si>
  <si>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</si>
  <si>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</si>
  <si>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</si>
  <si>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</si>
  <si>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</si>
  <si>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</si>
  <si>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</si>
  <si>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</si>
  <si>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</si>
  <si>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</si>
  <si>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</si>
  <si>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</si>
  <si>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</si>
  <si>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</si>
  <si>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</si>
  <si>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</si>
  <si>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</si>
  <si>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</si>
  <si>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</si>
  <si>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</si>
  <si>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</si>
  <si>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</si>
  <si>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</si>
  <si>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</si>
  <si>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</si>
  <si>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</si>
  <si>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</si>
  <si>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</si>
  <si>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</si>
  <si>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</si>
  <si>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</si>
  <si>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</si>
  <si>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</si>
  <si>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</si>
  <si>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</si>
  <si>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</si>
  <si>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</si>
  <si>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</si>
  <si>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</si>
  <si>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</si>
  <si>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</si>
  <si>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</si>
  <si>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</si>
  <si>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</si>
  <si>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</si>
  <si>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</si>
  <si>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</si>
  <si>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</si>
  <si>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</si>
  <si>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</si>
  <si>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</si>
  <si>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</si>
  <si>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</si>
  <si>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</si>
  <si>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</si>
  <si>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</si>
  <si>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</si>
  <si>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</si>
  <si>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</si>
  <si>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</si>
  <si>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</si>
  <si>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</si>
  <si>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</si>
  <si>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</si>
  <si>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</si>
  <si>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</si>
  <si>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</si>
  <si>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</si>
  <si>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</si>
  <si>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</si>
  <si>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</si>
  <si>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</si>
  <si>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</si>
  <si>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</si>
  <si>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</si>
  <si>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</si>
  <si>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</si>
  <si>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</si>
  <si>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</si>
  <si>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</si>
  <si>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</si>
  <si>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</si>
  <si>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</si>
  <si>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</si>
  <si>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</si>
  <si>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</si>
  <si>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</si>
  <si>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</si>
  <si>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</si>
  <si>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</si>
  <si>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</si>
  <si>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</si>
  <si>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</si>
  <si>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</si>
  <si>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</si>
  <si>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</si>
  <si>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</si>
  <si>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</si>
  <si>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</si>
  <si>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</si>
  <si>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</si>
  <si>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</si>
  <si>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</si>
  <si>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</si>
  <si>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</si>
  <si>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</si>
  <si>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</si>
  <si>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</si>
  <si>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</si>
  <si>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</si>
  <si>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</si>
  <si>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</si>
  <si>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</si>
  <si>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</si>
  <si>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</si>
  <si>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</si>
  <si>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</si>
  <si>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</si>
  <si>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</si>
  <si>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</si>
  <si>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</si>
  <si>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</si>
  <si>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</si>
  <si>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</si>
  <si>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</si>
  <si>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</si>
  <si>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</si>
  <si>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</si>
  <si>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</si>
  <si>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</si>
  <si>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</si>
  <si>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</si>
  <si>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</si>
  <si>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</si>
  <si>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</si>
  <si>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</si>
  <si>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</si>
  <si>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</si>
  <si>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</si>
  <si>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</si>
  <si>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</si>
  <si>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</si>
  <si>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</si>
  <si>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</si>
  <si>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</si>
  <si>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</si>
  <si>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</si>
  <si>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</si>
  <si>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</si>
  <si>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</si>
  <si>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</si>
  <si>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</si>
  <si>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</si>
  <si>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</si>
  <si>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</si>
  <si>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</si>
  <si>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</si>
  <si>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</si>
  <si>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</si>
  <si>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</si>
  <si>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</si>
  <si>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</si>
  <si>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</si>
  <si>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</si>
  <si>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</si>
  <si>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</si>
  <si>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</si>
  <si>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</si>
  <si>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</si>
  <si>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</si>
  <si>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</si>
  <si>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</si>
  <si>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</si>
  <si>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</si>
  <si>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</si>
  <si>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</si>
  <si>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</si>
  <si>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</si>
  <si>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</si>
  <si>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</si>
  <si>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</si>
  <si>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</si>
  <si>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</si>
  <si>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</si>
  <si>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</si>
  <si>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</si>
  <si>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</si>
  <si>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</si>
  <si>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</si>
  <si>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</si>
  <si>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</si>
  <si>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</si>
  <si>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</si>
  <si>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</si>
  <si>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</si>
  <si>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</si>
  <si>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</si>
  <si>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</si>
  <si>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</si>
  <si>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</si>
  <si>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</si>
  <si>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</si>
  <si>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</si>
  <si>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</si>
  <si>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</si>
  <si>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</si>
  <si>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</si>
  <si>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</si>
  <si>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</si>
  <si>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</si>
  <si>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</si>
  <si>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</si>
  <si>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</si>
  <si>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</si>
  <si>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</si>
  <si>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</si>
  <si>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</si>
  <si>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</si>
  <si>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</si>
  <si>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</si>
  <si>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</si>
  <si>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</si>
  <si>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</si>
  <si>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</si>
  <si>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</si>
  <si>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</si>
  <si>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</si>
  <si>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</si>
  <si>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</si>
  <si>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</si>
  <si>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</si>
  <si>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</si>
  <si>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</si>
  <si>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</si>
  <si>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</si>
  <si>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</si>
  <si>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</si>
  <si>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</si>
  <si>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</si>
  <si>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</si>
  <si>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</si>
  <si>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</si>
  <si>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</si>
  <si>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</si>
  <si>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</si>
  <si>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</si>
  <si>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</si>
  <si>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</si>
  <si>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</si>
  <si>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</si>
  <si>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</si>
  <si>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</si>
  <si>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</si>
  <si>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</si>
  <si>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</si>
  <si>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</si>
  <si>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</si>
  <si>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</si>
  <si>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</si>
  <si>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</si>
  <si>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</si>
  <si>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</si>
  <si>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</si>
  <si>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</si>
  <si>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</si>
  <si>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</si>
  <si>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</si>
  <si>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</si>
  <si>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</si>
  <si>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</si>
  <si>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</si>
  <si>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</si>
  <si>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</si>
  <si>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</si>
  <si>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</si>
  <si>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</si>
  <si>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</si>
  <si>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</si>
  <si>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</si>
  <si>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</si>
  <si>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</si>
  <si>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</si>
  <si>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</si>
  <si>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</si>
  <si>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</si>
  <si>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</si>
  <si>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</si>
  <si>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</si>
  <si>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</si>
  <si>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</si>
  <si>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</si>
  <si>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</si>
  <si>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</si>
  <si>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</si>
  <si>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</si>
  <si>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</si>
  <si>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</si>
  <si>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</si>
  <si>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</si>
  <si>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</si>
  <si>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</si>
  <si>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</si>
  <si>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</si>
  <si>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</si>
  <si>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</si>
  <si>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</si>
  <si>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</si>
  <si>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</si>
  <si>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</si>
  <si>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</si>
  <si>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</si>
  <si>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</si>
  <si>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</si>
  <si>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</si>
  <si>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</si>
  <si>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</si>
  <si>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</si>
  <si>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</si>
  <si>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</si>
  <si>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</si>
  <si>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</si>
  <si>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</si>
  <si>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</si>
  <si>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</si>
  <si>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</si>
  <si>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</si>
  <si>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</si>
  <si>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</si>
  <si>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</si>
  <si>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</si>
  <si>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</si>
  <si>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</si>
  <si>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</si>
  <si>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</si>
  <si>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</si>
  <si>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</si>
  <si>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</si>
  <si>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</si>
  <si>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</si>
  <si>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</si>
  <si>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</si>
  <si>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</si>
  <si>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</si>
  <si>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</si>
  <si>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</si>
  <si>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</si>
  <si>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</si>
  <si>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</si>
  <si>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</si>
  <si>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</si>
  <si>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</si>
  <si>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</si>
  <si>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</si>
  <si>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</si>
  <si>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</si>
  <si>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</si>
  <si>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</si>
  <si>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</si>
  <si>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</si>
  <si>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</si>
  <si>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</si>
  <si>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</si>
  <si>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</si>
  <si>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</si>
  <si>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</si>
  <si>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</si>
  <si>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</si>
  <si>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</si>
  <si>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</si>
  <si>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</si>
  <si>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</si>
  <si>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</si>
  <si>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</si>
  <si>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</si>
  <si>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</si>
  <si>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</si>
  <si>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</si>
  <si>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</si>
  <si>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</si>
  <si>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</si>
  <si>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</si>
  <si>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</si>
  <si>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</si>
  <si>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</si>
  <si>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</si>
  <si>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</si>
  <si>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</si>
  <si>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</si>
  <si>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</si>
  <si>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</si>
  <si>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</si>
  <si>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</si>
  <si>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</si>
  <si>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</si>
  <si>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</si>
  <si>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</si>
  <si>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</si>
  <si>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</si>
  <si>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</si>
  <si>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</si>
  <si>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</si>
  <si>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</si>
  <si>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</si>
  <si>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</si>
  <si>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</si>
  <si>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</si>
  <si>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</si>
  <si>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</si>
  <si>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</si>
  <si>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</si>
  <si>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</si>
  <si>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</si>
  <si>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</si>
  <si>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</si>
  <si>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</si>
  <si>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</si>
  <si>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</si>
  <si>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</si>
  <si>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</si>
  <si>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</si>
  <si>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</si>
  <si>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</si>
  <si>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</si>
  <si>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</si>
  <si>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</si>
  <si>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</si>
  <si>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</si>
  <si>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</si>
  <si>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</si>
  <si>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</si>
  <si>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</si>
  <si>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</si>
  <si>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</si>
  <si>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</si>
  <si>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</si>
  <si>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</si>
  <si>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</si>
  <si>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</si>
  <si>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</si>
  <si>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</si>
  <si>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</si>
  <si>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</si>
  <si>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</si>
  <si>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</si>
  <si>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</si>
  <si>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</si>
  <si>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</si>
  <si>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</si>
  <si>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</si>
  <si>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</si>
  <si>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</si>
  <si>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</si>
  <si>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</si>
  <si>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</si>
  <si>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</si>
  <si>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</si>
  <si>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</si>
  <si>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</si>
  <si>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</si>
  <si>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</si>
  <si>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</si>
  <si>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</si>
  <si>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</si>
  <si>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</si>
  <si>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</si>
  <si>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</si>
  <si>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</si>
  <si>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</si>
  <si>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</si>
  <si>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</si>
  <si>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</si>
  <si>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</si>
  <si>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</si>
  <si>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</si>
  <si>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</si>
  <si>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</si>
  <si>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</si>
  <si>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</si>
  <si>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</si>
  <si>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</si>
  <si>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</si>
  <si>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</si>
  <si>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</si>
  <si>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</si>
  <si>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</si>
  <si>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</si>
  <si>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</si>
  <si>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</si>
  <si>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</si>
  <si>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</si>
  <si>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</si>
  <si>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</si>
  <si>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</si>
  <si>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</si>
  <si>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</si>
  <si>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</si>
  <si>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</si>
  <si>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</si>
  <si>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</si>
  <si>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</si>
  <si>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</si>
  <si>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</si>
  <si>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</si>
  <si>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</si>
  <si>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</si>
  <si>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</si>
  <si>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</si>
  <si>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</si>
  <si>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</si>
  <si>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</si>
  <si>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</si>
  <si>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</si>
  <si>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</si>
  <si>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</si>
  <si>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</si>
  <si>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</si>
  <si>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</si>
  <si>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</si>
  <si>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</si>
  <si>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</si>
  <si>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</si>
  <si>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</si>
  <si>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</si>
  <si>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</si>
  <si>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</si>
  <si>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</si>
  <si>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</si>
  <si>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</si>
  <si>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</si>
  <si>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</si>
  <si>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</si>
  <si>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</si>
  <si>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</si>
  <si>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</si>
  <si>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</si>
  <si>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</si>
  <si>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</si>
  <si>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</si>
  <si>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</si>
  <si>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</si>
  <si>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</si>
  <si>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</si>
  <si>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</si>
  <si>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</si>
  <si>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</si>
  <si>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</si>
  <si>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</si>
  <si>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</si>
  <si>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</si>
  <si>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</si>
  <si>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</si>
  <si>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</si>
  <si>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</si>
  <si>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</si>
  <si>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</si>
  <si>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</si>
  <si>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</si>
  <si>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</si>
  <si>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</si>
  <si>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</si>
  <si>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</si>
  <si>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</si>
  <si>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</si>
  <si>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</si>
  <si>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</si>
  <si>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</si>
  <si>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</si>
  <si>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</si>
  <si>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</si>
  <si>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</si>
  <si>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</si>
  <si>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</si>
  <si>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</si>
  <si>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</si>
  <si>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</si>
  <si>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</si>
  <si>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</si>
  <si>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</si>
  <si>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</si>
  <si>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</si>
  <si>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</si>
  <si>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</si>
  <si>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</si>
  <si>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</si>
  <si>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</si>
  <si>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</si>
  <si>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</si>
  <si>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</si>
  <si>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</si>
  <si>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</si>
  <si>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</si>
  <si>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</si>
  <si>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</si>
  <si>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</si>
  <si>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</si>
  <si>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</si>
  <si>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</si>
  <si>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</si>
  <si>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</si>
  <si>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</si>
  <si>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</si>
  <si>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</si>
  <si>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</si>
  <si>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</si>
  <si>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</si>
  <si>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</si>
  <si>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</si>
  <si>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</si>
  <si>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</si>
  <si>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</si>
  <si>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</si>
  <si>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</si>
  <si>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</si>
  <si>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</si>
  <si>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</si>
  <si>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</si>
  <si>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</si>
  <si>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</si>
  <si>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</si>
  <si>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</si>
  <si>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</si>
  <si>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</si>
  <si>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</si>
  <si>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</si>
  <si>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</si>
  <si>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</si>
  <si>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</si>
  <si>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</si>
  <si>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</si>
  <si>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</si>
  <si>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</si>
  <si>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</si>
  <si>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</si>
  <si>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</si>
  <si>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</si>
  <si>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</si>
  <si>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</si>
  <si>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</si>
  <si>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</si>
  <si>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</si>
  <si>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</si>
  <si>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</si>
  <si>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</si>
  <si>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</si>
  <si>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</si>
  <si>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</si>
  <si>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</si>
  <si>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</si>
  <si>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</si>
  <si>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</si>
  <si>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</si>
  <si>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</si>
  <si>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</si>
  <si>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</si>
  <si>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</si>
  <si>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</si>
  <si>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</si>
  <si>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</si>
  <si>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</si>
  <si>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</si>
  <si>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</si>
  <si>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</si>
  <si>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</si>
  <si>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</si>
  <si>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</si>
  <si>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</si>
  <si>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</si>
  <si>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</si>
  <si>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</si>
  <si>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</si>
  <si>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</si>
  <si>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</si>
  <si>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</si>
  <si>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</si>
  <si>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</si>
  <si>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</si>
  <si>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</si>
  <si>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</si>
  <si>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</si>
  <si>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</si>
  <si>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</si>
  <si>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</si>
  <si>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</si>
  <si>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</si>
  <si>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</si>
  <si>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</si>
  <si>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</si>
  <si>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</si>
  <si>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</si>
  <si>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</si>
  <si>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</si>
  <si>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</si>
  <si>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</si>
  <si>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</si>
  <si>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</si>
  <si>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</si>
  <si>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</si>
  <si>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</si>
  <si>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</si>
  <si>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</si>
  <si>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</si>
  <si>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</si>
  <si>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</si>
  <si>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</si>
  <si>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</si>
  <si>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</si>
  <si>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</si>
  <si>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</si>
  <si>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</si>
  <si>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</si>
  <si>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</si>
  <si>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</si>
  <si>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</si>
  <si>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</si>
  <si>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</si>
  <si>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</si>
  <si>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</si>
  <si>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</si>
  <si>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</si>
  <si>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</si>
  <si>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</si>
  <si>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</si>
  <si>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</si>
  <si>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</si>
  <si>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</si>
  <si>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</si>
  <si>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</si>
  <si>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</si>
  <si>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</si>
  <si>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</si>
  <si>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</si>
  <si>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</si>
  <si>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</si>
  <si>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</si>
  <si>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</si>
  <si>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</si>
  <si>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</si>
  <si>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</si>
  <si>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</si>
  <si>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</si>
  <si>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</si>
  <si>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</si>
  <si>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</si>
  <si>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</si>
  <si>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</si>
  <si>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</si>
  <si>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</si>
  <si>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</si>
  <si>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</si>
  <si>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</si>
  <si>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</si>
  <si>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</si>
  <si>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</si>
  <si>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</si>
  <si>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</si>
  <si>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</si>
  <si>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</si>
  <si>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</si>
  <si>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</si>
  <si>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</si>
  <si>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</si>
  <si>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</si>
  <si>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</si>
  <si>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</si>
  <si>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</si>
  <si>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</si>
  <si>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</si>
  <si>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</si>
  <si>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</si>
  <si>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</si>
  <si>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</si>
  <si>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</si>
  <si>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</si>
  <si>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</si>
  <si>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</si>
  <si>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</si>
  <si>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</si>
  <si>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</si>
  <si>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</si>
  <si>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</si>
  <si>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</si>
  <si>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</si>
  <si>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</si>
  <si>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</si>
  <si>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</si>
  <si>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</si>
  <si>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</si>
  <si>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</si>
  <si>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</si>
  <si>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</si>
  <si>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</si>
  <si>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</si>
  <si>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</si>
  <si>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</si>
  <si>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</si>
  <si>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</si>
  <si>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</si>
  <si>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</si>
  <si>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</si>
  <si>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</si>
  <si>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</si>
  <si>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</si>
  <si>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</si>
  <si>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</si>
  <si>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</si>
  <si>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</si>
  <si>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</si>
  <si>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</si>
  <si>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</si>
  <si>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</si>
  <si>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</si>
  <si>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</si>
  <si>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</si>
  <si>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</si>
  <si>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</si>
  <si>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</si>
  <si>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</si>
  <si>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</si>
  <si>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</si>
  <si>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</si>
  <si>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</si>
  <si>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</si>
  <si>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</si>
  <si>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</si>
  <si>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</si>
  <si>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</si>
  <si>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</si>
  <si>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</si>
  <si>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</si>
  <si>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</si>
  <si>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</si>
  <si>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</si>
  <si>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</si>
  <si>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</si>
  <si>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</si>
  <si>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</si>
  <si>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</si>
  <si>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</si>
  <si>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</si>
  <si>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</si>
  <si>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</si>
  <si>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</si>
  <si>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</si>
  <si>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</si>
  <si>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</si>
  <si>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</si>
  <si>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</si>
  <si>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</si>
  <si>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</si>
  <si>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</si>
  <si>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</si>
  <si>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</si>
  <si>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</si>
  <si>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</si>
  <si>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</si>
  <si>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</si>
  <si>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</si>
  <si>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</si>
  <si>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</si>
  <si>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</si>
  <si>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</si>
  <si>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</si>
  <si>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</si>
  <si>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</si>
  <si>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</si>
  <si>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</si>
  <si>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</si>
  <si>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</si>
  <si>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</si>
  <si>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</si>
  <si>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</si>
  <si>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</si>
  <si>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</si>
  <si>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</si>
  <si>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</si>
  <si>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</si>
  <si>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</si>
  <si>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</si>
  <si>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</si>
  <si>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</si>
  <si>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</si>
  <si>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</si>
  <si>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</si>
  <si>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</si>
  <si>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</si>
  <si>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</si>
  <si>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</si>
  <si>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</si>
  <si>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</si>
  <si>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</si>
  <si>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</si>
  <si>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</si>
  <si>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</si>
  <si>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</si>
  <si>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</si>
  <si>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</si>
  <si>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</si>
  <si>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</si>
  <si>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</si>
  <si>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</si>
  <si>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</si>
  <si>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</si>
  <si>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</si>
  <si>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</si>
  <si>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</si>
  <si>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</si>
  <si>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</si>
  <si>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</si>
  <si>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</si>
  <si>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</si>
  <si>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</si>
  <si>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</si>
  <si>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</si>
  <si>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</si>
  <si>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</si>
  <si>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</si>
  <si>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</si>
  <si>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</si>
  <si>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</si>
  <si>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</si>
  <si>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</si>
  <si>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</si>
  <si>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</si>
  <si>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</si>
  <si>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</si>
  <si>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</si>
  <si>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</si>
  <si>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</si>
  <si>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</si>
  <si>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</si>
  <si>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</si>
  <si>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</si>
  <si>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</si>
  <si>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</si>
  <si>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</si>
  <si>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</si>
  <si>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</si>
  <si>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</si>
  <si>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</si>
  <si>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</si>
  <si>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</si>
  <si>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</si>
  <si>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</si>
  <si>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</si>
  <si>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</si>
  <si>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</si>
  <si>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</si>
  <si>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</si>
  <si>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</si>
  <si>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</si>
  <si>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</si>
  <si>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</si>
  <si>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</si>
  <si>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</si>
  <si>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</si>
  <si>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</si>
  <si>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</si>
  <si>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</si>
  <si>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</si>
  <si>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</si>
  <si>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</si>
  <si>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</si>
  <si>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</si>
  <si>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</si>
  <si>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</si>
  <si>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</si>
  <si>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</si>
  <si>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</si>
  <si>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</si>
  <si>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</si>
  <si>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</si>
  <si>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</si>
  <si>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</si>
  <si>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</si>
  <si>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</si>
  <si>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</si>
  <si>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</si>
  <si>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</si>
  <si>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</si>
  <si>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</si>
  <si>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</si>
  <si>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</si>
  <si>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</si>
  <si>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</si>
  <si>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</si>
  <si>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</si>
  <si>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</si>
  <si>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</si>
  <si>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</si>
  <si>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</si>
  <si>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</si>
  <si>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</si>
  <si>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</si>
  <si>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</si>
  <si>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</si>
  <si>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</si>
  <si>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</si>
  <si>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</si>
  <si>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</si>
  <si>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</si>
  <si>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</si>
  <si>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</si>
  <si>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</si>
  <si>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</si>
  <si>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</si>
  <si>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</si>
  <si>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</si>
  <si>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</si>
  <si>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</si>
  <si>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</si>
  <si>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</si>
  <si>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</si>
  <si>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</si>
  <si>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</si>
  <si>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</si>
  <si>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</si>
  <si>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</si>
  <si>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</si>
  <si>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</si>
  <si>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</si>
  <si>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</si>
  <si>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</si>
  <si>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</si>
  <si>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</si>
  <si>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</si>
  <si>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</si>
  <si>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</si>
  <si>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</si>
  <si>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</si>
  <si>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</si>
  <si>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</si>
  <si>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</si>
  <si>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</si>
  <si>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</si>
  <si>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</si>
  <si>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</si>
  <si>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</si>
  <si>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</si>
  <si>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</si>
  <si>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</si>
  <si>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</si>
  <si>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</si>
  <si>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</si>
  <si>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</si>
  <si>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</si>
  <si>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</si>
  <si>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</si>
  <si>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</si>
  <si>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</si>
  <si>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</si>
  <si>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</si>
  <si>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</si>
  <si>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</si>
  <si>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</si>
  <si>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</si>
  <si>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</si>
  <si>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</si>
  <si>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</si>
  <si>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</si>
  <si>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</si>
  <si>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</si>
  <si>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</si>
  <si>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</si>
  <si>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</si>
  <si>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</si>
  <si>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</si>
  <si>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</si>
  <si>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</si>
  <si>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</si>
  <si>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</si>
  <si>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</si>
  <si>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</si>
  <si>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</si>
  <si>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</si>
  <si>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</si>
  <si>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</si>
  <si>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</si>
  <si>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</si>
  <si>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</si>
  <si>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</si>
  <si>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</si>
  <si>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</si>
  <si>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</si>
  <si>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</si>
  <si>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</si>
  <si>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</si>
  <si>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</si>
  <si>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</si>
  <si>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</si>
  <si>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</si>
  <si>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</si>
  <si>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</si>
  <si>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</si>
  <si>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</si>
  <si>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</si>
  <si>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</si>
  <si>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</si>
  <si>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</si>
  <si>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</si>
  <si>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</si>
  <si>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</si>
  <si>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</si>
  <si>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</si>
  <si>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</si>
  <si>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</si>
  <si>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</si>
  <si>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</si>
  <si>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</si>
  <si>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</si>
  <si>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</si>
  <si>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</si>
  <si>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</si>
  <si>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</si>
  <si>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</si>
  <si>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</si>
  <si>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</si>
  <si>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</si>
  <si>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</si>
  <si>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</si>
  <si>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</si>
  <si>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</si>
  <si>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</si>
  <si>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</si>
  <si>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</si>
  <si>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</si>
  <si>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</si>
  <si>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</si>
  <si>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</si>
  <si>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</si>
  <si>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</si>
  <si>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</si>
  <si>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</si>
  <si>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</si>
  <si>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</si>
  <si>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</si>
  <si>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</si>
  <si>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</si>
  <si>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</si>
  <si>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</si>
  <si>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</si>
  <si>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</si>
  <si>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</si>
  <si>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</si>
  <si>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</si>
  <si>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</si>
  <si>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</si>
  <si>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</si>
  <si>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</si>
  <si>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</si>
  <si>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</si>
  <si>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</si>
  <si>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</si>
  <si>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</si>
  <si>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</si>
  <si>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</si>
  <si>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</si>
  <si>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</si>
  <si>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</si>
  <si>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</si>
  <si>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</si>
  <si>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</si>
  <si>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</si>
  <si>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</si>
  <si>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</si>
  <si>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</si>
  <si>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</si>
  <si>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</si>
  <si>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</si>
  <si>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</si>
  <si>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</si>
  <si>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</si>
  <si>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</si>
  <si>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</si>
  <si>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</si>
  <si>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</si>
  <si>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</si>
  <si>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</si>
  <si>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</si>
  <si>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</si>
  <si>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</si>
  <si>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</si>
  <si>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</si>
  <si>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</si>
  <si>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</si>
  <si>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</si>
  <si>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</si>
  <si>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</si>
  <si>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</si>
  <si>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</si>
  <si>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</si>
  <si>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</si>
  <si>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</si>
  <si>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</si>
  <si>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</si>
  <si>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</si>
  <si>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</si>
  <si>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</si>
  <si>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</si>
  <si>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</si>
  <si>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</si>
  <si>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</si>
  <si>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</si>
  <si>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</si>
  <si>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</si>
  <si>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</si>
  <si>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</si>
  <si>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</si>
  <si>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</si>
  <si>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</si>
  <si>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</si>
  <si>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</si>
  <si>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</si>
  <si>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</si>
  <si>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</si>
  <si>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</si>
  <si>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</si>
  <si>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</si>
  <si>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</si>
  <si>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</si>
  <si>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</si>
  <si>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</si>
  <si>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</si>
  <si>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</si>
  <si>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</si>
  <si>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</si>
  <si>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</si>
  <si>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</si>
  <si>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</si>
  <si>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</si>
  <si>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</si>
  <si>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</si>
  <si>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</si>
  <si>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</si>
  <si>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</si>
  <si>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</si>
  <si>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</si>
  <si>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</si>
  <si>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</si>
  <si>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</si>
  <si>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</si>
  <si>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</si>
  <si>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</si>
  <si>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</si>
  <si>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</si>
  <si>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</si>
  <si>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</si>
  <si>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</si>
  <si>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</si>
  <si>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</si>
  <si>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</si>
  <si>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</si>
  <si>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</si>
  <si>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</si>
  <si>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</si>
  <si>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</si>
  <si>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</si>
  <si>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</si>
  <si>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</si>
  <si>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</si>
  <si>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</si>
  <si>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</si>
  <si>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</si>
  <si>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</si>
  <si>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</si>
  <si>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</si>
  <si>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</si>
  <si>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</si>
  <si>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</si>
  <si>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</si>
  <si>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</si>
  <si>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</si>
  <si>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</si>
  <si>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</si>
  <si>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</si>
  <si>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</si>
  <si>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</si>
  <si>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</si>
  <si>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</si>
  <si>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</si>
  <si>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</si>
  <si>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</si>
  <si>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</si>
  <si>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</si>
  <si>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</si>
  <si>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</si>
  <si>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</si>
  <si>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</si>
  <si>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</si>
  <si>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</si>
  <si>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</si>
  <si>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</si>
  <si>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</si>
  <si>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</si>
  <si>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</si>
  <si>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</si>
  <si>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</si>
  <si>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</si>
  <si>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</si>
  <si>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</si>
  <si>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</si>
  <si>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</si>
  <si>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</si>
  <si>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</si>
  <si>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</si>
  <si>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</si>
  <si>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</si>
  <si>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</si>
  <si>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</si>
  <si>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</si>
  <si>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</si>
  <si>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</si>
  <si>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</si>
  <si>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</si>
  <si>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</si>
  <si>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</si>
  <si>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</si>
  <si>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</si>
  <si>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</si>
  <si>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</si>
  <si>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</si>
  <si>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</si>
  <si>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</si>
  <si>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</si>
  <si>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</si>
  <si>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</si>
  <si>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</si>
  <si>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</si>
  <si>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</si>
  <si>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</si>
  <si>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</si>
  <si>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</si>
  <si>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</si>
  <si>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</si>
  <si>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</si>
  <si>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</si>
  <si>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</si>
  <si>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</si>
  <si>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</si>
  <si>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</si>
  <si>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</si>
  <si>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</si>
  <si>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</si>
  <si>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</si>
  <si>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</si>
  <si>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</si>
  <si>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</si>
  <si>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</si>
  <si>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</si>
  <si>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</si>
  <si>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</si>
  <si>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</si>
  <si>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</si>
  <si>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</si>
  <si>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</si>
  <si>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</si>
  <si>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</si>
  <si>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</si>
  <si>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</si>
  <si>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</si>
  <si>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</si>
  <si>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</si>
  <si>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</si>
  <si>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</si>
  <si>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</si>
  <si>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</si>
  <si>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</si>
  <si>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</si>
  <si>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</si>
  <si>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</si>
  <si>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</si>
  <si>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</si>
  <si>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</si>
  <si>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</si>
  <si>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</si>
  <si>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</si>
  <si>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</si>
  <si>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</si>
  <si>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</si>
  <si>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</si>
  <si>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</si>
  <si>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</si>
  <si>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</si>
  <si>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</si>
  <si>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</si>
  <si>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</si>
  <si>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</si>
  <si>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</si>
  <si>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</si>
  <si>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</si>
  <si>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</si>
  <si>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</si>
  <si>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</si>
  <si>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</si>
  <si>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</si>
  <si>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</si>
  <si>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</si>
  <si>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</si>
  <si>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</si>
  <si>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</si>
  <si>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</si>
  <si>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</si>
  <si>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</si>
  <si>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</si>
  <si>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</si>
  <si>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</si>
  <si>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</si>
  <si>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</si>
  <si>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</si>
  <si>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</si>
  <si>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</si>
  <si>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</si>
  <si>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</si>
  <si>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</si>
  <si>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</si>
  <si>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</si>
  <si>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</si>
  <si>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</si>
  <si>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</si>
  <si>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</si>
  <si>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</si>
  <si>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</si>
  <si>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</si>
  <si>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</si>
  <si>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</si>
  <si>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</si>
  <si>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</si>
  <si>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</si>
  <si>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</si>
  <si>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</si>
  <si>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</si>
  <si>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</si>
  <si>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</si>
  <si>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</si>
  <si>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</si>
  <si>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</si>
  <si>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</si>
  <si>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</si>
  <si>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</si>
  <si>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</si>
  <si>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</si>
  <si>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</si>
  <si>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</si>
  <si>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</si>
  <si>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</si>
  <si>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</si>
  <si>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</si>
  <si>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</si>
  <si>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</si>
  <si>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</si>
  <si>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</si>
  <si>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</si>
  <si>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</si>
  <si>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</si>
  <si>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</si>
  <si>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</si>
  <si>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</si>
  <si>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</si>
  <si>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</si>
  <si>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</si>
  <si>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</si>
  <si>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</si>
  <si>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</si>
  <si>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</si>
  <si>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</si>
  <si>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</si>
  <si>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</si>
  <si>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</si>
  <si>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</si>
  <si>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</si>
  <si>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</si>
  <si>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</si>
  <si>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</si>
  <si>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</si>
  <si>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</si>
  <si>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</si>
  <si>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</si>
  <si>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</si>
  <si>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</si>
  <si>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</si>
  <si>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</si>
  <si>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</si>
  <si>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</si>
  <si>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</si>
  <si>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</si>
  <si>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</si>
  <si>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</si>
  <si>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</si>
  <si>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</si>
  <si>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</si>
  <si>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</si>
  <si>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</si>
  <si>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</si>
  <si>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</si>
  <si>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</si>
  <si>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</si>
  <si>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</si>
  <si>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</si>
  <si>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</si>
  <si>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</si>
  <si>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</si>
  <si>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</si>
  <si>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</si>
  <si>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</si>
  <si>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</si>
  <si>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</si>
  <si>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</si>
  <si>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</si>
  <si>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</si>
  <si>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</si>
  <si>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</si>
  <si>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</si>
  <si>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</si>
  <si>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</si>
  <si>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</si>
  <si>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</si>
  <si>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</si>
  <si>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</si>
  <si>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</si>
  <si>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</si>
  <si>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</si>
  <si>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</si>
  <si>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</si>
  <si>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</si>
  <si>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</si>
  <si>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</si>
  <si>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</si>
  <si>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</si>
  <si>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</si>
  <si>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</si>
  <si>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</si>
  <si>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</si>
  <si>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</si>
  <si>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</si>
  <si>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</si>
  <si>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</si>
  <si>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</si>
  <si>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</si>
  <si>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</si>
  <si>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</si>
  <si>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</si>
  <si>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</si>
  <si>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</si>
  <si>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</si>
  <si>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</si>
  <si>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</si>
  <si>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</si>
  <si>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</si>
  <si>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</si>
  <si>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</si>
  <si>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</si>
  <si>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</si>
  <si>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</si>
  <si>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</si>
  <si>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</si>
  <si>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</si>
  <si>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</si>
  <si>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</si>
  <si>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</si>
  <si>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</si>
  <si>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</si>
  <si>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</si>
  <si>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</si>
  <si>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</si>
  <si>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</si>
  <si>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</si>
  <si>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</si>
  <si>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</si>
  <si>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</si>
  <si>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</si>
  <si>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</si>
  <si>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</si>
  <si>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</si>
  <si>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</si>
  <si>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</si>
  <si>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</si>
  <si>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</si>
  <si>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</si>
  <si>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</si>
  <si>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</si>
  <si>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</si>
  <si>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</si>
  <si>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</si>
  <si>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</si>
  <si>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</si>
  <si>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</si>
  <si>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</si>
  <si>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</si>
  <si>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</si>
  <si>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</si>
  <si>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</si>
  <si>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</si>
  <si>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</si>
  <si>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</si>
  <si>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</si>
  <si>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</si>
  <si>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</si>
  <si>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</si>
  <si>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</si>
  <si>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</si>
  <si>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</si>
  <si>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</si>
  <si>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</si>
  <si>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</si>
  <si>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</si>
  <si>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</si>
  <si>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</si>
  <si>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</si>
  <si>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</si>
  <si>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</si>
  <si>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</si>
  <si>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</si>
  <si>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</si>
  <si>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</si>
  <si>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</si>
  <si>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</si>
  <si>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</si>
  <si>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</si>
  <si>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</si>
  <si>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</si>
  <si>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</si>
  <si>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</si>
  <si>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</si>
  <si>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</si>
  <si>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</si>
  <si>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</si>
  <si>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</si>
  <si>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</si>
  <si>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</si>
  <si>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</si>
  <si>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</si>
  <si>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</si>
  <si>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</si>
  <si>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</si>
  <si>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</si>
  <si>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</si>
  <si>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</si>
  <si>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</si>
  <si>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</si>
  <si>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</si>
  <si>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</si>
  <si>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</si>
  <si>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</si>
  <si>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</si>
  <si>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</si>
  <si>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</si>
  <si>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</si>
  <si>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</si>
  <si>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</si>
  <si>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</si>
  <si>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</si>
  <si>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</si>
  <si>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</si>
  <si>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</si>
  <si>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</si>
  <si>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</si>
  <si>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</si>
  <si>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</si>
  <si>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</si>
  <si>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</si>
  <si>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</si>
  <si>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</si>
  <si>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</si>
  <si>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</si>
  <si>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</si>
  <si>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</si>
  <si>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</si>
  <si>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</si>
  <si>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</si>
  <si>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</si>
  <si>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</si>
  <si>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</si>
  <si>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</si>
  <si>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</si>
  <si>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</si>
  <si>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</si>
  <si>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</si>
  <si>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</si>
  <si>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</si>
  <si>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</si>
  <si>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</si>
  <si>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</si>
  <si>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</si>
  <si>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</si>
  <si>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</si>
  <si>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</si>
  <si>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</si>
  <si>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</si>
  <si>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</si>
  <si>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</si>
  <si>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</si>
  <si>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</si>
  <si>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</si>
  <si>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</si>
  <si>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</si>
  <si>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</si>
  <si>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</si>
  <si>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</si>
  <si>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</si>
  <si>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</si>
  <si>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</si>
  <si>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</si>
  <si>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</si>
  <si>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</si>
  <si>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</si>
  <si>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</si>
  <si>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</si>
  <si>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</si>
  <si>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</si>
  <si>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</si>
  <si>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</si>
  <si>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</si>
  <si>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</si>
  <si>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</si>
  <si>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</si>
  <si>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</si>
  <si>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</si>
  <si>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</si>
  <si>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</si>
  <si>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</si>
  <si>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</si>
  <si>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</si>
  <si>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</si>
  <si>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</si>
  <si>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</si>
  <si>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</si>
  <si>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</si>
  <si>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</si>
  <si>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</si>
  <si>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</si>
  <si>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</si>
  <si>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</si>
  <si>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</si>
  <si>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</si>
  <si>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</si>
  <si>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</si>
  <si>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</si>
  <si>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</si>
  <si>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</si>
  <si>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</si>
  <si>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</si>
  <si>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</si>
  <si>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</si>
  <si>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</si>
  <si>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</si>
  <si>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</si>
  <si>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</si>
  <si>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</si>
  <si>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</si>
  <si>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</si>
  <si>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</si>
  <si>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</si>
  <si>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</si>
  <si>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</si>
  <si>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</si>
  <si>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</si>
  <si>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</si>
  <si>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</si>
  <si>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</si>
  <si>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</si>
  <si>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</si>
  <si>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</si>
  <si>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</si>
  <si>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</si>
  <si>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</si>
  <si>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</si>
  <si>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</si>
  <si>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</si>
  <si>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</si>
  <si>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</si>
  <si>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</si>
  <si>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</si>
  <si>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</si>
  <si>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</si>
  <si>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</si>
  <si>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</si>
  <si>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</si>
  <si>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</si>
  <si>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</si>
  <si>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</si>
  <si>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</si>
  <si>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</si>
  <si>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</si>
  <si>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</si>
  <si>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</si>
  <si>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</si>
  <si>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</si>
  <si>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</si>
  <si>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</si>
  <si>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</si>
  <si>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</si>
  <si>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</si>
  <si>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</si>
  <si>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</si>
  <si>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</si>
  <si>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</si>
  <si>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</si>
  <si>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</si>
  <si>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</si>
  <si>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</si>
  <si>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</si>
  <si>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</si>
  <si>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</si>
  <si>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</si>
  <si>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</si>
  <si>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</si>
  <si>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</si>
  <si>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</si>
  <si>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</si>
  <si>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</si>
  <si>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</si>
  <si>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</si>
  <si>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</si>
  <si>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</si>
  <si>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</si>
  <si>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</si>
  <si>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</si>
  <si>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</si>
  <si>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</si>
  <si>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</si>
  <si>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</si>
  <si>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</si>
  <si>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</si>
  <si>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</si>
  <si>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</si>
  <si>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</si>
  <si>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</si>
  <si>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</si>
  <si>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</si>
  <si>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</si>
  <si>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</si>
  <si>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</si>
  <si>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</si>
  <si>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</si>
  <si>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</si>
  <si>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</si>
  <si>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</si>
  <si>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</si>
  <si>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</si>
  <si>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</si>
  <si>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</si>
  <si>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</si>
  <si>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</si>
  <si>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</si>
  <si>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</si>
  <si>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</si>
  <si>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</si>
  <si>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</si>
  <si>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</si>
  <si>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</si>
  <si>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</si>
  <si>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</si>
  <si>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</si>
  <si>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</si>
  <si>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</si>
  <si>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</si>
  <si>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</si>
  <si>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</si>
  <si>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</si>
  <si>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</si>
  <si>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</si>
  <si>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</si>
  <si>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</si>
  <si>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</si>
  <si>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</si>
  <si>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</si>
  <si>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</si>
  <si>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</si>
  <si>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</si>
  <si>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</si>
  <si>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</si>
  <si>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</si>
  <si>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</si>
  <si>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</si>
  <si>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</si>
  <si>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</si>
  <si>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</si>
  <si>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</si>
  <si>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</si>
  <si>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</si>
  <si>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</si>
  <si>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</si>
  <si>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</si>
  <si>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</si>
  <si>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</si>
  <si>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</si>
  <si>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</si>
  <si>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</si>
  <si>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</si>
  <si>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</si>
  <si>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</si>
  <si>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</si>
  <si>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</si>
  <si>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</si>
  <si>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</si>
  <si>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</si>
  <si>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</si>
  <si>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</si>
  <si>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</si>
  <si>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</si>
  <si>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</si>
  <si>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</si>
  <si>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</si>
  <si>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</si>
  <si>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</si>
  <si>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</si>
  <si>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</si>
  <si>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</si>
  <si>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</si>
  <si>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</si>
  <si>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</si>
  <si>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</si>
  <si>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</si>
  <si>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</si>
  <si>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</si>
  <si>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</si>
  <si>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</si>
  <si>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</si>
  <si>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</si>
  <si>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</si>
  <si>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</si>
  <si>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</si>
  <si>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</si>
  <si>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</si>
  <si>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</si>
  <si>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</si>
  <si>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</si>
  <si>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</si>
  <si>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</si>
  <si>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</si>
  <si>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</si>
  <si>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</si>
  <si>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</si>
  <si>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</si>
  <si>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</si>
  <si>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</si>
  <si>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</si>
  <si>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</si>
  <si>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</si>
  <si>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</si>
  <si>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</si>
  <si>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</si>
  <si>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</si>
  <si>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</si>
  <si>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</si>
  <si>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</si>
  <si>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</si>
  <si>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</si>
  <si>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</si>
  <si>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</si>
  <si>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</si>
  <si>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</si>
  <si>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</si>
  <si>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</si>
  <si>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</si>
  <si>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</si>
  <si>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</si>
  <si>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</si>
  <si>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</si>
  <si>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</si>
  <si>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</si>
  <si>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</si>
  <si>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</si>
  <si>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</si>
  <si>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</si>
  <si>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</si>
  <si>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</si>
  <si>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</si>
  <si>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</si>
  <si>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</si>
  <si>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</si>
  <si>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</si>
  <si>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</si>
  <si>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</si>
  <si>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</si>
  <si>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</si>
  <si>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</si>
  <si>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</si>
  <si>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</si>
  <si>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</si>
  <si>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</si>
  <si>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</si>
  <si>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</si>
  <si>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</si>
  <si>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</si>
  <si>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</si>
  <si>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</si>
  <si>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</si>
  <si>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</si>
  <si>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</si>
  <si>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</si>
  <si>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</si>
  <si>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</si>
  <si>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</si>
  <si>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</si>
  <si>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</si>
  <si>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</si>
  <si>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</si>
  <si>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</si>
  <si>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</si>
  <si>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</si>
  <si>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</si>
  <si>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</si>
  <si>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</si>
  <si>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</si>
  <si>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</si>
  <si>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</si>
  <si>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</si>
  <si>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</si>
  <si>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</si>
  <si>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</si>
  <si>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</si>
  <si>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</si>
  <si>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</si>
  <si>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</si>
  <si>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</si>
  <si>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</si>
  <si>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</si>
  <si>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</si>
  <si>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</si>
  <si>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</si>
  <si>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</si>
  <si>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</si>
  <si>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</si>
  <si>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</si>
  <si>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</si>
  <si>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</si>
  <si>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</si>
  <si>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</si>
  <si>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</si>
  <si>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</si>
  <si>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</si>
  <si>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</si>
  <si>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</si>
  <si>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</si>
  <si>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</si>
  <si>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</si>
  <si>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</si>
  <si>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</si>
  <si>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</si>
  <si>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</si>
  <si>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</si>
  <si>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</si>
  <si>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</si>
  <si>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</si>
  <si>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</si>
  <si>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</si>
  <si>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</si>
  <si>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</si>
  <si>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</si>
  <si>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</si>
  <si>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</si>
  <si>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</si>
  <si>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</si>
  <si>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</si>
  <si>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</si>
  <si>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</si>
  <si>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</si>
  <si>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</si>
  <si>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</si>
  <si>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</si>
  <si>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</si>
  <si>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</si>
  <si>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</si>
  <si>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</si>
  <si>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</si>
  <si>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</si>
  <si>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</si>
  <si>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</si>
  <si>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</si>
  <si>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</si>
  <si>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</si>
  <si>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</si>
  <si>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</si>
  <si>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</si>
  <si>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</si>
  <si>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</si>
  <si>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</si>
  <si>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</si>
  <si>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</si>
  <si>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</si>
  <si>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</si>
  <si>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</si>
  <si>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</si>
  <si>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</si>
  <si>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</si>
  <si>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</si>
  <si>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</si>
  <si>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</si>
  <si>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</si>
  <si>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</si>
  <si>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</si>
  <si>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</si>
  <si>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</si>
  <si>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</si>
  <si>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</si>
  <si>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</si>
  <si>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</si>
  <si>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</si>
  <si>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</si>
  <si>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</si>
  <si>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</si>
  <si>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</si>
  <si>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</si>
  <si>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</si>
  <si>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</si>
  <si>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</si>
  <si>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</si>
  <si>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</si>
  <si>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</si>
  <si>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</si>
  <si>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</si>
  <si>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</si>
  <si>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</si>
  <si>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</si>
  <si>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</si>
  <si>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</si>
  <si>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</si>
  <si>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</si>
  <si>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</si>
  <si>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</si>
  <si>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</si>
  <si>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</si>
  <si>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</si>
  <si>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</si>
  <si>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</si>
  <si>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</si>
  <si>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</si>
  <si>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</si>
  <si>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</si>
  <si>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</si>
  <si>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</si>
  <si>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</si>
  <si>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</si>
  <si>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</si>
  <si>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</si>
  <si>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</si>
  <si>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</si>
  <si>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</si>
  <si>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</si>
  <si>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</si>
  <si>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</si>
  <si>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</si>
  <si>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</si>
  <si>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</si>
  <si>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</si>
  <si>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</si>
  <si>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</si>
  <si>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</si>
  <si>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</si>
  <si>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</si>
  <si>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</si>
  <si>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</si>
  <si>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</si>
  <si>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</si>
  <si>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</si>
  <si>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</si>
  <si>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</si>
  <si>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</si>
  <si>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</si>
  <si>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</si>
  <si>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</si>
  <si>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</si>
  <si>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</si>
  <si>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</si>
  <si>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</si>
  <si>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</si>
  <si>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</si>
  <si>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</si>
  <si>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</si>
  <si>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</si>
  <si>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</si>
  <si>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</si>
  <si>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</si>
  <si>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</si>
  <si>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</si>
  <si>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</si>
  <si>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</si>
  <si>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</si>
  <si>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</si>
  <si>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</si>
  <si>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</si>
  <si>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</si>
  <si>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</si>
  <si>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</si>
  <si>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</si>
  <si>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</si>
  <si>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</si>
  <si>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</si>
  <si>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</si>
  <si>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</si>
  <si>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</si>
  <si>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</si>
  <si>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</si>
  <si>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</si>
  <si>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</si>
  <si>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</si>
  <si>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</si>
  <si>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</si>
  <si>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</si>
  <si>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</si>
  <si>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</si>
  <si>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</si>
  <si>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</si>
  <si>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</si>
  <si>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</si>
  <si>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</si>
  <si>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</si>
  <si>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</si>
  <si>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</si>
  <si>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</si>
  <si>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</si>
  <si>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</si>
  <si>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</si>
  <si>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</si>
  <si>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</si>
  <si>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</si>
  <si>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</si>
  <si>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</si>
  <si>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</si>
  <si>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</si>
  <si>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</si>
  <si>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</si>
  <si>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</si>
  <si>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</si>
  <si>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</si>
  <si>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</si>
  <si>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</si>
  <si>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</si>
  <si>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</si>
  <si>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</si>
  <si>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</si>
  <si>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</si>
  <si>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</si>
  <si>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</si>
  <si>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</si>
  <si>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</si>
  <si>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</si>
  <si>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</si>
  <si>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</si>
  <si>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</si>
  <si>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</si>
  <si>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</si>
  <si>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</si>
  <si>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</si>
  <si>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</si>
  <si>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</si>
  <si>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</si>
  <si>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</si>
  <si>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</si>
  <si>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</si>
  <si>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</si>
  <si>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</si>
  <si>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</si>
  <si>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</si>
  <si>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</si>
  <si>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</si>
  <si>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</si>
  <si>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</si>
  <si>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</si>
  <si>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</si>
  <si>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</si>
  <si>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</si>
  <si>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</si>
  <si>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</si>
  <si>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</si>
  <si>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</si>
  <si>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</si>
  <si>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</si>
  <si>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</si>
  <si>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</si>
  <si>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</si>
  <si>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</si>
  <si>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</si>
  <si>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</si>
  <si>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</si>
  <si>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</si>
  <si>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</si>
  <si>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</si>
  <si>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</si>
  <si>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</si>
  <si>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</si>
  <si>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</si>
  <si>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</si>
  <si>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</si>
  <si>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</si>
  <si>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</si>
  <si>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</si>
  <si>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</si>
  <si>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</si>
  <si>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</si>
  <si>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</si>
  <si>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</si>
  <si>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</si>
  <si>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</si>
  <si>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</si>
  <si>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</si>
  <si>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</si>
  <si>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</si>
  <si>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</si>
  <si>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</si>
  <si>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</si>
  <si>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</si>
  <si>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</si>
  <si>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</si>
  <si>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</si>
  <si>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</si>
  <si>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</si>
  <si>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</si>
  <si>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</si>
  <si>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</si>
  <si>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</si>
  <si>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</si>
  <si>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</si>
  <si>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</si>
  <si>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</si>
  <si>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</si>
  <si>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</si>
  <si>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</si>
  <si>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</si>
  <si>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</si>
  <si>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</si>
  <si>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</si>
  <si>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</si>
  <si>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</si>
  <si>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</si>
  <si>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</si>
  <si>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</si>
  <si>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</si>
  <si>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</si>
  <si>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</si>
  <si>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</si>
  <si>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</si>
  <si>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</si>
  <si>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</si>
  <si>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</si>
  <si>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</si>
  <si>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</si>
  <si>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</si>
  <si>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</si>
  <si>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</si>
  <si>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</si>
  <si>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</si>
  <si>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</si>
  <si>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</si>
  <si>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</si>
  <si>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</si>
  <si>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</si>
  <si>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</si>
  <si>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</si>
  <si>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</si>
  <si>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</si>
  <si>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</si>
  <si>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</si>
  <si>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</si>
  <si>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</si>
  <si>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</si>
  <si>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</si>
  <si>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</si>
  <si>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</si>
  <si>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</si>
  <si>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</si>
  <si>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</si>
  <si>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</si>
  <si>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</si>
  <si>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</si>
  <si>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</si>
  <si>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</si>
  <si>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</si>
  <si>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</si>
  <si>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</si>
  <si>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</si>
  <si>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</si>
  <si>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</si>
  <si>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</si>
  <si>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</si>
  <si>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</si>
  <si>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</si>
  <si>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</si>
  <si>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</si>
  <si>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</si>
  <si>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</si>
  <si>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</si>
  <si>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</si>
  <si>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</si>
  <si>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</si>
  <si>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</si>
  <si>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</si>
  <si>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</si>
  <si>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</si>
  <si>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</si>
  <si>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</si>
  <si>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</si>
  <si>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</si>
  <si>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</si>
  <si>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</si>
  <si>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</si>
  <si>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</si>
  <si>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</si>
  <si>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</si>
  <si>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</si>
  <si>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</si>
  <si>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</si>
  <si>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</si>
  <si>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</si>
  <si>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</si>
  <si>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</si>
  <si>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</si>
  <si>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</si>
  <si>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</si>
  <si>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</si>
  <si>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</si>
  <si>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</si>
  <si>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</si>
  <si>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</si>
  <si>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</si>
  <si>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</si>
  <si>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</si>
  <si>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</si>
  <si>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</si>
  <si>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</si>
  <si>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</si>
  <si>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</si>
  <si>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</si>
  <si>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</si>
  <si>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</si>
  <si>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</si>
  <si>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</si>
  <si>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</si>
  <si>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</si>
  <si>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</si>
  <si>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</si>
  <si>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</si>
  <si>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</si>
  <si>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</si>
  <si>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</si>
  <si>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</si>
  <si>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</si>
  <si>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</si>
  <si>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</si>
  <si>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</si>
  <si>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</si>
  <si>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</si>
  <si>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</si>
  <si>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</si>
  <si>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</si>
  <si>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</si>
  <si>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</si>
  <si>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</si>
  <si>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</si>
  <si>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</si>
  <si>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</si>
  <si>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</si>
  <si>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</si>
  <si>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</si>
  <si>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</si>
  <si>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</si>
  <si>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</si>
  <si>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</si>
  <si>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</si>
  <si>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</si>
  <si>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</si>
  <si>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</si>
  <si>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</si>
  <si>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</si>
  <si>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</si>
  <si>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</si>
  <si>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</si>
  <si>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</si>
  <si>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</si>
  <si>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</si>
  <si>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</si>
  <si>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</si>
  <si>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</si>
  <si>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</si>
  <si>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</si>
  <si>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</si>
  <si>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</si>
  <si>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</si>
  <si>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</si>
  <si>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</si>
  <si>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</si>
  <si>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</si>
  <si>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</si>
  <si>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</si>
  <si>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</si>
  <si>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</si>
  <si>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</si>
  <si>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</si>
  <si>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</si>
  <si>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</si>
  <si>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</si>
  <si>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</si>
  <si>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</si>
  <si>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</si>
  <si>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</si>
  <si>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</si>
  <si>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</si>
  <si>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</si>
  <si>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</si>
  <si>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</si>
  <si>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</si>
  <si>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</si>
  <si>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</si>
  <si>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</si>
  <si>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</si>
  <si>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</si>
  <si>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</si>
  <si>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</si>
  <si>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</si>
  <si>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</si>
  <si>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</si>
  <si>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</si>
  <si>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</si>
  <si>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</si>
  <si>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</si>
  <si>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</si>
  <si>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</si>
  <si>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</si>
  <si>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</si>
  <si>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</si>
  <si>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</si>
  <si>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</si>
  <si>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</si>
  <si>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</si>
  <si>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</si>
  <si>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</si>
  <si>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</si>
  <si>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</si>
  <si>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</si>
  <si>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</si>
  <si>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</si>
  <si>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</si>
  <si>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</si>
  <si>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</si>
  <si>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</si>
  <si>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</si>
  <si>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</si>
  <si>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</si>
  <si>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</si>
  <si>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</si>
  <si>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</si>
  <si>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</si>
  <si>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</si>
  <si>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</si>
  <si>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</si>
  <si>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</si>
  <si>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</si>
  <si>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</si>
  <si>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</si>
  <si>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</si>
  <si>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</si>
  <si>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</si>
  <si>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</si>
  <si>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</si>
  <si>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</si>
  <si>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</si>
  <si>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</si>
  <si>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</si>
  <si>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</si>
  <si>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</si>
  <si>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</si>
  <si>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</si>
  <si>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</si>
  <si>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</si>
  <si>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</si>
  <si>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</si>
  <si>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</si>
  <si>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</si>
  <si>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</si>
  <si>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</si>
  <si>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</si>
  <si>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</si>
  <si>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</si>
  <si>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</si>
  <si>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</si>
  <si>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</si>
  <si>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</si>
  <si>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</si>
  <si>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</si>
  <si>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</si>
  <si>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</si>
  <si>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</si>
  <si>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</si>
  <si>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</si>
  <si>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</si>
  <si>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</si>
  <si>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</si>
  <si>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</si>
  <si>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</si>
  <si>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</si>
  <si>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</si>
  <si>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</si>
  <si>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</si>
  <si>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</si>
  <si>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</si>
  <si>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</si>
  <si>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</si>
  <si>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</si>
  <si>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</si>
  <si>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</si>
  <si>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</si>
  <si>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</si>
  <si>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</si>
  <si>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</si>
  <si>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</si>
  <si>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</si>
  <si>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</si>
  <si>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</si>
  <si>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</si>
  <si>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</si>
  <si>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</si>
  <si>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</si>
  <si>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</si>
  <si>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</si>
  <si>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</si>
  <si>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</si>
  <si>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</si>
  <si>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</si>
  <si>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</si>
  <si>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</si>
  <si>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</si>
  <si>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</si>
  <si>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</si>
  <si>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</si>
  <si>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</si>
  <si>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</si>
  <si>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</si>
  <si>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</si>
  <si>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</si>
  <si>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</si>
  <si>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</si>
  <si>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</si>
  <si>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</si>
  <si>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</si>
  <si>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</si>
  <si>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</si>
  <si>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</si>
  <si>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</si>
  <si>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</si>
  <si>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</si>
  <si>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</si>
  <si>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</si>
  <si>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</si>
  <si>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</si>
  <si>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</si>
  <si>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</si>
  <si>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</si>
  <si>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</si>
  <si>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</si>
  <si>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</si>
  <si>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</si>
  <si>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</si>
  <si>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</si>
  <si>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</si>
  <si>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</si>
  <si>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</si>
  <si>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</si>
  <si>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</si>
  <si>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</si>
  <si>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</si>
  <si>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</si>
  <si>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</si>
  <si>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</si>
  <si>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</si>
  <si>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</si>
  <si>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</si>
  <si>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</si>
  <si>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</si>
  <si>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</si>
  <si>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</si>
  <si>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</si>
  <si>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</si>
  <si>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</si>
  <si>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</si>
  <si>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</si>
  <si>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</si>
  <si>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</si>
  <si>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</si>
  <si>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</si>
  <si>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</si>
  <si>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</si>
  <si>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</si>
  <si>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</si>
  <si>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</si>
  <si>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</si>
  <si>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</si>
  <si>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</si>
  <si>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</si>
  <si>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</si>
  <si>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</si>
  <si>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</si>
  <si>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</si>
  <si>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</si>
  <si>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</si>
  <si>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</si>
  <si>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</si>
  <si>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</si>
  <si>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</si>
  <si>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</si>
  <si>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</si>
  <si>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</si>
  <si>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</si>
  <si>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</si>
  <si>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</si>
  <si>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</si>
  <si>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</si>
  <si>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</si>
  <si>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</si>
  <si>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</si>
  <si>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</si>
  <si>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</si>
  <si>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</si>
  <si>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</si>
  <si>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</si>
  <si>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</si>
  <si>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</si>
  <si>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</si>
  <si>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</si>
  <si>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</si>
  <si>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</si>
  <si>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</si>
  <si>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</si>
  <si>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</si>
  <si>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</si>
  <si>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</si>
  <si>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</si>
  <si>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</si>
  <si>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</si>
  <si>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</si>
  <si>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</si>
  <si>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</si>
  <si>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</si>
  <si>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</si>
  <si>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</si>
  <si>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</si>
  <si>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</si>
  <si>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</si>
  <si>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</si>
  <si>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</si>
  <si>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</si>
  <si>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</si>
  <si>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</si>
  <si>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</si>
  <si>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</si>
  <si>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</si>
  <si>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</si>
  <si>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</si>
  <si>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</si>
  <si>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</si>
  <si>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</si>
  <si>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</si>
  <si>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</si>
  <si>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</si>
  <si>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</si>
  <si>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</si>
  <si>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</si>
  <si>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</si>
  <si>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</si>
  <si>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</si>
  <si>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</si>
  <si>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</si>
  <si>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</si>
  <si>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</si>
  <si>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</si>
  <si>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</si>
  <si>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</si>
  <si>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</si>
  <si>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</si>
  <si>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</si>
  <si>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</si>
  <si>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</si>
  <si>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</si>
  <si>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</si>
  <si>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</si>
  <si>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</si>
  <si>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</si>
  <si>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</si>
  <si>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</si>
  <si>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</si>
  <si>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</si>
  <si>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</si>
  <si>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</si>
  <si>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</si>
  <si>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</si>
  <si>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</si>
  <si>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</si>
  <si>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</si>
  <si>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</si>
  <si>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</si>
  <si>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</si>
  <si>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</si>
  <si>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</si>
  <si>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</si>
  <si>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</si>
  <si>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</si>
  <si>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</si>
  <si>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</si>
  <si>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</si>
  <si>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</si>
  <si>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</si>
  <si>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</si>
  <si>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</si>
  <si>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</si>
  <si>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</si>
  <si>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</si>
  <si>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</si>
  <si>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</si>
  <si>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</si>
  <si>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</si>
  <si>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</si>
  <si>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</si>
  <si>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</si>
  <si>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</si>
  <si>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</si>
  <si>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</si>
  <si>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</si>
  <si>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</si>
  <si>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</si>
  <si>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</si>
  <si>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</si>
  <si>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</si>
  <si>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</si>
  <si>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</si>
  <si>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</si>
  <si>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</si>
  <si>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</si>
  <si>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</si>
  <si>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</si>
  <si>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</si>
  <si>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</si>
  <si>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</si>
  <si>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</si>
  <si>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</si>
  <si>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</si>
  <si>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</si>
  <si>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</si>
  <si>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</si>
  <si>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</si>
  <si>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</si>
  <si>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</si>
  <si>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</si>
  <si>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</si>
  <si>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</si>
  <si>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</si>
  <si>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</si>
  <si>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</si>
  <si>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</si>
  <si>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</si>
  <si>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</si>
  <si>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</si>
  <si>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</si>
  <si>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</si>
  <si>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</si>
  <si>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</si>
  <si>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</si>
  <si>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</si>
  <si>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</si>
  <si>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</si>
  <si>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</si>
  <si>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</si>
  <si>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</si>
  <si>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</si>
  <si>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</si>
  <si>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</si>
  <si>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</si>
  <si>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</si>
  <si>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</si>
  <si>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</si>
  <si>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</si>
  <si>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</si>
  <si>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</si>
  <si>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</si>
  <si>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</si>
  <si>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</si>
  <si>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</si>
  <si>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</si>
  <si>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</si>
  <si>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</si>
  <si>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</si>
  <si>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</si>
  <si>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</si>
  <si>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</si>
  <si>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</si>
  <si>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</si>
  <si>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</si>
  <si>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</si>
  <si>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</si>
  <si>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</si>
  <si>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</si>
  <si>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</si>
  <si>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</si>
  <si>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</si>
  <si>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</si>
  <si>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</si>
  <si>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</si>
  <si>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</si>
  <si>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</si>
  <si>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</si>
  <si>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</si>
  <si>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</si>
  <si>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</si>
  <si>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</si>
  <si>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</si>
  <si>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</si>
  <si>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</si>
  <si>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</si>
  <si>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</si>
  <si>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</si>
  <si>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</si>
  <si>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</si>
  <si>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</si>
  <si>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</si>
  <si>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</si>
  <si>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</si>
  <si>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</si>
  <si>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</si>
  <si>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</si>
  <si>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</si>
  <si>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</si>
  <si>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</si>
  <si>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</si>
  <si>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</si>
  <si>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</si>
  <si>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</si>
  <si>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</si>
  <si>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</si>
  <si>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</si>
  <si>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</si>
  <si>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</si>
  <si>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</si>
  <si>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</si>
  <si>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</si>
  <si>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</si>
  <si>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</si>
  <si>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</si>
  <si>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</si>
  <si>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</si>
  <si>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</si>
  <si>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</si>
  <si>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</si>
  <si>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</si>
  <si>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</si>
  <si>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</si>
  <si>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</si>
  <si>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</si>
  <si>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</si>
  <si>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</si>
  <si>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</si>
  <si>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</si>
  <si>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</si>
  <si>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</si>
  <si>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</si>
  <si>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</si>
  <si>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</si>
  <si>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</si>
  <si>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</si>
  <si>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</si>
  <si>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</si>
  <si>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</si>
  <si>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</si>
  <si>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</si>
  <si>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</si>
  <si>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</si>
  <si>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</si>
  <si>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</si>
  <si>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</si>
  <si>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</si>
  <si>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</si>
  <si>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</si>
  <si>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</si>
  <si>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</si>
  <si>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</si>
  <si>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</si>
  <si>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</si>
  <si>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</si>
  <si>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</si>
  <si>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</si>
  <si>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</si>
  <si>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</si>
  <si>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</si>
  <si>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</si>
  <si>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</si>
  <si>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</si>
  <si>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</si>
  <si>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</si>
  <si>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</si>
  <si>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</si>
  <si>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</si>
  <si>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</si>
  <si>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</si>
  <si>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</si>
  <si>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</si>
  <si>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</si>
  <si>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</si>
  <si>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</si>
  <si>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</si>
  <si>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</si>
  <si>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</si>
  <si>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</si>
  <si>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</si>
  <si>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</si>
  <si>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</si>
  <si>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</si>
  <si>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</si>
  <si>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</si>
  <si>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</si>
  <si>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</si>
  <si>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</si>
  <si>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</si>
  <si>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</si>
  <si>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</si>
  <si>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</si>
  <si>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</si>
  <si>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</si>
  <si>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</si>
  <si>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</si>
  <si>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</si>
  <si>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</si>
  <si>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</si>
  <si>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</si>
  <si>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</si>
  <si>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</si>
  <si>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</si>
  <si>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</si>
  <si>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</si>
  <si>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</si>
  <si>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</si>
  <si>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</si>
  <si>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</si>
  <si>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</si>
  <si>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</si>
  <si>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</si>
  <si>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</si>
  <si>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</si>
  <si>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</si>
  <si>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</si>
  <si>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</si>
  <si>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</si>
  <si>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</si>
  <si>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</si>
  <si>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</si>
  <si>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</si>
  <si>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</si>
  <si>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</si>
  <si>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</si>
  <si>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</si>
  <si>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</si>
  <si>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</si>
  <si>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</si>
  <si>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</si>
  <si>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</si>
  <si>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</si>
  <si>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</si>
  <si>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</si>
  <si>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</si>
  <si>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</si>
  <si>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</si>
  <si>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</si>
  <si>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</si>
  <si>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</si>
  <si>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</si>
  <si>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</si>
  <si>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</si>
  <si>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</si>
  <si>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</si>
  <si>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</si>
  <si>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</si>
  <si>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</si>
  <si>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</si>
  <si>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</si>
  <si>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</si>
  <si>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</si>
  <si>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</si>
  <si>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</si>
  <si>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</si>
  <si>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</si>
  <si>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</si>
  <si>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</si>
  <si>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</si>
  <si>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</si>
  <si>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</si>
  <si>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</si>
  <si>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</si>
  <si>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</si>
  <si>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</si>
  <si>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</si>
  <si>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</si>
  <si>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</si>
  <si>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</si>
  <si>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</si>
  <si>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</si>
  <si>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</si>
  <si>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</si>
  <si>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</si>
  <si>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</si>
  <si>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</si>
  <si>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</si>
  <si>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</si>
  <si>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</si>
  <si>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</si>
  <si>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</si>
  <si>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</si>
  <si>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</si>
  <si>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</si>
  <si>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</si>
  <si>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</si>
  <si>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</si>
  <si>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</si>
  <si>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</si>
  <si>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</si>
  <si>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</si>
  <si>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</si>
  <si>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</si>
  <si>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</si>
  <si>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</si>
  <si>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</si>
  <si>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</si>
  <si>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</si>
  <si>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</si>
  <si>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</si>
  <si>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</si>
  <si>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</si>
  <si>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</si>
  <si>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</si>
  <si>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</si>
  <si>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</si>
  <si>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</si>
  <si>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</si>
  <si>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</si>
  <si>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</si>
  <si>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</si>
  <si>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</si>
  <si>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</si>
  <si>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</si>
  <si>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</si>
  <si>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</si>
  <si>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</si>
  <si>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</si>
  <si>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</si>
  <si>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</si>
  <si>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</si>
  <si>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</si>
  <si>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</si>
  <si>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</si>
  <si>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</si>
  <si>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</si>
  <si>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</si>
  <si>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</si>
  <si>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</si>
  <si>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</si>
  <si>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</si>
  <si>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</si>
  <si>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</si>
  <si>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</si>
  <si>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</si>
  <si>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</si>
  <si>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</si>
  <si>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</si>
  <si>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</si>
  <si>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</si>
  <si>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</si>
  <si>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</si>
  <si>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</si>
  <si>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</si>
  <si>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</si>
  <si>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</si>
  <si>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</si>
  <si>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</si>
  <si>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</si>
  <si>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</si>
  <si>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</si>
  <si>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</si>
  <si>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</si>
  <si>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</si>
  <si>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</si>
  <si>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</si>
  <si>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</si>
  <si>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</si>
  <si>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</si>
  <si>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</si>
  <si>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</si>
  <si>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</si>
  <si>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</si>
  <si>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</si>
  <si>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</si>
  <si>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</si>
  <si>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</si>
  <si>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</si>
  <si>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</si>
  <si>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</si>
  <si>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</si>
  <si>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</si>
  <si>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</si>
  <si>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</si>
  <si>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</si>
  <si>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</si>
  <si>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</si>
  <si>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</si>
  <si>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</si>
  <si>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</si>
  <si>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</si>
  <si>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</si>
  <si>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</si>
  <si>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</si>
  <si>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</si>
  <si>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</si>
  <si>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</si>
  <si>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</si>
  <si>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</si>
  <si>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</si>
  <si>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</si>
  <si>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</si>
  <si>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</si>
  <si>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</si>
  <si>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</si>
  <si>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</si>
  <si>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</si>
  <si>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</si>
  <si>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</si>
  <si>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</si>
  <si>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</si>
  <si>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</si>
  <si>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</si>
  <si>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</si>
  <si>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</si>
  <si>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</si>
  <si>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</si>
  <si>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</si>
  <si>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</si>
  <si>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</si>
  <si>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</si>
  <si>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</si>
  <si>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</si>
  <si>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</si>
  <si>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</si>
  <si>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</si>
  <si>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</si>
  <si>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</si>
  <si>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</si>
  <si>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</si>
  <si>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</si>
  <si>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</si>
  <si>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</si>
  <si>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</si>
  <si>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</si>
  <si>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</si>
  <si>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</si>
  <si>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</si>
  <si>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</si>
  <si>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</si>
  <si>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</si>
  <si>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</si>
  <si>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</si>
  <si>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</si>
  <si>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</si>
  <si>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</si>
  <si>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</si>
  <si>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</si>
  <si>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</si>
  <si>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</si>
  <si>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</si>
  <si>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</si>
  <si>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</si>
  <si>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</si>
  <si>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</si>
  <si>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</si>
  <si>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</si>
  <si>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</si>
  <si>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</si>
  <si>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</si>
  <si>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</si>
  <si>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</si>
  <si>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</si>
  <si>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</si>
  <si>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</si>
  <si>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</si>
  <si>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</si>
  <si>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</si>
  <si>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</si>
  <si>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</si>
  <si>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</si>
  <si>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</si>
  <si>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</si>
  <si>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</si>
  <si>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</si>
  <si>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</si>
  <si>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</si>
  <si>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</si>
  <si>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</si>
  <si>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</si>
  <si>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</si>
  <si>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</si>
  <si>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</si>
  <si>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</si>
  <si>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</si>
  <si>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</si>
  <si>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</si>
  <si>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</si>
  <si>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</si>
  <si>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</si>
  <si>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</si>
  <si>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</si>
  <si>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</si>
  <si>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</si>
  <si>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</si>
  <si>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</si>
  <si>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</si>
  <si>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</si>
  <si>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</si>
  <si>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</si>
  <si>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</si>
  <si>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</si>
  <si>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</si>
  <si>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</si>
  <si>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</si>
  <si>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</si>
  <si>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</si>
  <si>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</si>
  <si>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</si>
  <si>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</si>
  <si>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</si>
  <si>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</si>
  <si>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</si>
  <si>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</si>
  <si>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</si>
  <si>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</si>
  <si>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</si>
  <si>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</si>
  <si>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</si>
  <si>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</si>
  <si>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</si>
  <si>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</si>
  <si>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</si>
  <si>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</si>
  <si>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</si>
  <si>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</si>
  <si>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</si>
  <si>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</si>
  <si>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</si>
  <si>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</si>
  <si>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</si>
  <si>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</si>
  <si>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</si>
  <si>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</si>
  <si>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</si>
  <si>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</si>
  <si>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</si>
  <si>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</si>
  <si>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</si>
  <si>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</si>
  <si>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</si>
  <si>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</si>
  <si>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</si>
  <si>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</si>
  <si>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</si>
  <si>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</si>
  <si>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</si>
  <si>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</si>
  <si>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</si>
  <si>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</si>
  <si>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</si>
  <si>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</si>
  <si>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</si>
  <si>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</si>
  <si>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</si>
  <si>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</si>
  <si>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</si>
  <si>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</si>
  <si>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</si>
  <si>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</si>
  <si>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</si>
  <si>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</si>
  <si>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</si>
  <si>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</si>
  <si>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</si>
  <si>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</si>
  <si>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</si>
  <si>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</si>
  <si>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</si>
  <si>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</si>
  <si>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</si>
  <si>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</si>
  <si>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</si>
  <si>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</si>
  <si>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</si>
  <si>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</si>
  <si>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</si>
  <si>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</si>
  <si>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</si>
  <si>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</si>
  <si>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</si>
  <si>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</si>
  <si>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</si>
  <si>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</si>
  <si>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</si>
  <si>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</si>
  <si>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</si>
  <si>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</si>
  <si>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</si>
  <si>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</si>
  <si>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</si>
  <si>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</si>
  <si>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</si>
  <si>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</si>
  <si>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</si>
  <si>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</si>
  <si>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</si>
  <si>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</si>
  <si>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</si>
  <si>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</si>
  <si>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</si>
  <si>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</si>
  <si>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</si>
  <si>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</si>
  <si>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</si>
  <si>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</si>
  <si>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</si>
  <si>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</si>
  <si>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</si>
  <si>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</si>
  <si>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</si>
  <si>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</si>
  <si>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</si>
  <si>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</si>
  <si>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</si>
  <si>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</si>
  <si>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</si>
  <si>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</si>
  <si>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</si>
  <si>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</si>
  <si>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</si>
  <si>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</si>
  <si>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</si>
  <si>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</si>
  <si>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</si>
  <si>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</si>
  <si>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</si>
  <si>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</si>
  <si>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</si>
  <si>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</si>
  <si>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</si>
  <si>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</si>
  <si>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</si>
  <si>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</si>
  <si>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</si>
  <si>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</si>
  <si>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</si>
  <si>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</si>
  <si>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</si>
  <si>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</si>
  <si>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</si>
  <si>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</si>
  <si>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</si>
  <si>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</si>
  <si>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</si>
  <si>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</si>
  <si>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</si>
  <si>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</si>
  <si>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</si>
  <si>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</si>
  <si>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</si>
  <si>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</si>
  <si>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</si>
  <si>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</si>
  <si>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</si>
  <si>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</si>
  <si>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</si>
  <si>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</si>
  <si>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</si>
  <si>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</si>
  <si>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</si>
  <si>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</si>
  <si>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</si>
  <si>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</si>
  <si>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</si>
  <si>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</si>
  <si>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</si>
  <si>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</si>
  <si>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</si>
  <si>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</si>
  <si>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</si>
  <si>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</si>
  <si>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</si>
  <si>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</si>
  <si>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</si>
  <si>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</si>
  <si>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</si>
  <si>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</si>
  <si>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</si>
  <si>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</si>
  <si>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</si>
  <si>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</si>
  <si>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</si>
  <si>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</si>
  <si>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</si>
  <si>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</si>
  <si>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</si>
  <si>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</si>
  <si>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</si>
  <si>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</si>
  <si>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</si>
  <si>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</si>
  <si>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</si>
  <si>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</si>
  <si>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</si>
  <si>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</si>
  <si>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</si>
  <si>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</si>
  <si>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</si>
  <si>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</si>
  <si>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</si>
  <si>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</si>
  <si>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</si>
  <si>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</si>
  <si>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</si>
  <si>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</si>
  <si>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</si>
  <si>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</si>
  <si>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</si>
  <si>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</si>
  <si>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</si>
  <si>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</si>
  <si>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</si>
  <si>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</si>
  <si>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</si>
  <si>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</si>
  <si>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</si>
  <si>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</si>
  <si>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</si>
  <si>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</si>
  <si>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</si>
  <si>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</si>
  <si>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</si>
  <si>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</si>
  <si>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</si>
  <si>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</si>
  <si>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</si>
  <si>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</si>
  <si>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</si>
  <si>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</si>
  <si>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</si>
  <si>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</si>
  <si>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</si>
  <si>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</si>
  <si>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</si>
  <si>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</si>
  <si>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</si>
  <si>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</si>
  <si>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</si>
  <si>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</si>
  <si>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</si>
  <si>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</si>
  <si>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</si>
  <si>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</si>
  <si>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</si>
  <si>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</si>
  <si>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</si>
  <si>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</si>
  <si>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</si>
  <si>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</si>
  <si>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</si>
  <si>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</si>
  <si>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</si>
  <si>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</si>
  <si>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</si>
  <si>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</si>
  <si>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</si>
  <si>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</si>
  <si>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</si>
  <si>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</si>
  <si>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</si>
  <si>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</si>
  <si>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</si>
  <si>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</si>
  <si>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</si>
  <si>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</si>
  <si>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</si>
  <si>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</si>
  <si>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</si>
  <si>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</si>
  <si>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</si>
  <si>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</si>
  <si>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</si>
  <si>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</si>
  <si>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</si>
  <si>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</si>
  <si>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</si>
  <si>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</si>
  <si>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</si>
  <si>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</si>
  <si>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</si>
  <si>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</si>
  <si>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</si>
  <si>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</si>
  <si>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</si>
  <si>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</si>
  <si>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</si>
  <si>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</si>
  <si>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</si>
  <si>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</si>
  <si>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</si>
  <si>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</si>
  <si>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</si>
  <si>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</si>
  <si>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</si>
  <si>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</si>
  <si>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</si>
  <si>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</si>
  <si>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</si>
  <si>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</si>
  <si>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</si>
  <si>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</si>
  <si>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</si>
  <si>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</si>
  <si>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</si>
  <si>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</si>
  <si>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</si>
  <si>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</si>
  <si>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</si>
  <si>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</si>
  <si>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</si>
  <si>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</si>
  <si>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</si>
  <si>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</si>
  <si>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</si>
  <si>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</si>
  <si>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</si>
  <si>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</si>
  <si>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</si>
  <si>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</si>
  <si>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</si>
  <si>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</si>
  <si>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</si>
  <si>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</si>
  <si>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</si>
  <si>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</si>
  <si>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</si>
  <si>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</si>
  <si>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</si>
  <si>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</si>
  <si>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</si>
  <si>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</si>
  <si>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</si>
  <si>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</si>
  <si>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</si>
  <si>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</si>
  <si>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</si>
  <si>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</si>
  <si>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</si>
  <si>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</si>
  <si>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</si>
  <si>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</si>
  <si>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</si>
  <si>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</si>
  <si>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</si>
  <si>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</si>
  <si>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</si>
  <si>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</si>
  <si>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</si>
  <si>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</si>
  <si>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</si>
  <si>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</si>
  <si>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</si>
  <si>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</si>
  <si>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</si>
  <si>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</si>
  <si>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</si>
  <si>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</si>
  <si>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</si>
  <si>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</si>
  <si>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</si>
  <si>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</si>
  <si>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</si>
  <si>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</si>
  <si>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</si>
  <si>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</si>
  <si>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</si>
  <si>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</si>
  <si>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</si>
  <si>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</si>
  <si>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</si>
  <si>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</si>
  <si>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</si>
  <si>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</si>
  <si>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</si>
  <si>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</si>
  <si>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</si>
  <si>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</si>
  <si>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</si>
  <si>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</si>
  <si>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</si>
  <si>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</si>
  <si>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</si>
  <si>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</si>
  <si>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</si>
  <si>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</si>
  <si>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</si>
  <si>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</si>
  <si>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</si>
  <si>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</si>
  <si>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</si>
  <si>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</si>
  <si>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</si>
  <si>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</si>
  <si>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</si>
  <si>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</si>
  <si>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</si>
  <si>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</si>
  <si>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</si>
  <si>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</si>
  <si>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</si>
  <si>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</si>
  <si>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</si>
  <si>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</si>
  <si>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</si>
  <si>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</si>
  <si>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</si>
  <si>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</si>
  <si>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</si>
  <si>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</si>
  <si>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</si>
  <si>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</si>
  <si>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</si>
  <si>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</si>
  <si>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</si>
  <si>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</si>
  <si>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</si>
  <si>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</si>
  <si>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</si>
  <si>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</si>
  <si>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</si>
  <si>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</si>
  <si>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</si>
  <si>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</si>
  <si>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15041RESIN337382023</t>
  </si>
  <si>
    <t>23BL000F</t>
  </si>
  <si>
    <t>23BL000C</t>
  </si>
  <si>
    <t>06143006101060</t>
  </si>
  <si>
    <t>LOTICOMER, S.A. DE C.V.</t>
  </si>
  <si>
    <t>000533809</t>
  </si>
  <si>
    <t>FAUSTINO LOPEZ BONILLA</t>
  </si>
  <si>
    <t>01/05/2023</t>
  </si>
  <si>
    <t>17/05/2023</t>
  </si>
  <si>
    <t>06140409901016</t>
  </si>
  <si>
    <t>DORSA, S.A. DE C.V.</t>
  </si>
  <si>
    <t>22/05/2023</t>
  </si>
  <si>
    <t>03151510541013</t>
  </si>
  <si>
    <t>RIGOBERTO ANGEL PEREZ RAMIREZ</t>
  </si>
  <si>
    <t>27/05/2023</t>
  </si>
  <si>
    <t>06/06/2023</t>
  </si>
  <si>
    <t>08/06/2023</t>
  </si>
  <si>
    <t>24/06/2023</t>
  </si>
  <si>
    <t>22/06/2023</t>
  </si>
  <si>
    <t>28/06/2023</t>
  </si>
  <si>
    <t>30/06/2023</t>
  </si>
  <si>
    <t>03/07/2023</t>
  </si>
  <si>
    <t>19/07/2023</t>
  </si>
  <si>
    <t>20/07/2023</t>
  </si>
  <si>
    <t>24/07/2023</t>
  </si>
  <si>
    <t>25/07/2023</t>
  </si>
  <si>
    <t>31/07/2023</t>
  </si>
  <si>
    <t>05/07/2023</t>
  </si>
  <si>
    <t>15/07/2023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</si>
</sst>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0" fillId="0" borderId="0" xfId="0" applyNumberFormat="1" applyBorder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11" fillId="7" borderId="6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2:T21" totalsRowShown="0">
  <tableColumns count="20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89" dataCellStyle="Moneda"/>
    <tableColumn id="17" name="ANEXO 3"/>
    <tableColumn id="19" name="SERIE"/>
    <tableColumn id="18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10" totalsRowShown="0">
  <tableColumns count="19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8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85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5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84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83" headerRowBorderDxfId="82" tableBorderDxfId="81">
  <autoFilter ref="A1:J2"/>
  <tableColumns count="10">
    <tableColumn id="1" name="Mes" totalsRowLabel="Total" dataDxfId="80"/>
    <tableColumn id="10" name="NCR" dataDxfId="79"/>
    <tableColumn id="2" name="NIT Agente" dataDxfId="78"/>
    <tableColumn id="3" name="Fecha de emisión" dataDxfId="77" totalsRowDxfId="76"/>
    <tableColumn id="4" name="Tipo de documento" totalsRowFunction="sum" dataDxfId="75" totalsRowDxfId="74"/>
    <tableColumn id="5" name="Serie" totalsRowFunction="sum" dataDxfId="73" totalsRowDxfId="72"/>
    <tableColumn id="6" name="Número de documento" dataDxfId="71" totalsRowDxfId="70"/>
    <tableColumn id="7" name="Monto sujeto" totalsRowFunction="sum" dataDxfId="69" totalsRowDxfId="68" dataCellStyle="Moneda"/>
    <tableColumn id="13" name="Monto Retención 1%" totalsRowFunction="sum" dataDxfId="67" totalsRowDxfId="66" dataCellStyle="Moneda"/>
    <tableColumn id="8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3" headerRowBorderDxfId="62" tableBorderDxfId="61">
  <autoFilter ref="A1:Q4"/>
  <sortState ref="A2:Q3">
    <sortCondition ref="J1:J3"/>
  </sortState>
  <tableColumns count="17">
    <tableColumn id="1" name="Mes" totalsRowLabel="Total" dataDxfId="60"/>
    <tableColumn id="10" name="NCR" dataDxfId="59"/>
    <tableColumn id="2" name="NIT Agente" dataDxfId="58"/>
    <tableColumn id="18" name="Columna6"/>
    <tableColumn id="19" name="Columna7"/>
    <tableColumn id="16" name="Columna4" dataDxfId="57">
      <calculatedColumnFormula>VLOOKUP(Tabla69[[#This Row],[Columna5]],'[2]LIBRO '!$A$1:$B$1007,2,FALSE)</calculatedColumnFormula>
    </tableColumn>
    <tableColumn id="17" name="Columna5" dataDxfId="56">
      <calculatedColumnFormula>VLOOKUP(Tabla69[[#This Row],[NIT Agente]],Tabla4[#All],2,FALSE)</calculatedColumnFormula>
    </tableColumn>
    <tableColumn id="12" name="Columna2" dataDxfId="55" totalsRowDxfId="54">
      <calculatedColumnFormula>VLOOKUP(Tabla69[[#This Row],[Columna1]],'[2]LIBRO '!$A$1:$B$902,2,FALSE)</calculatedColumnFormula>
    </tableColumn>
    <tableColumn id="11" name="Columna1" dataDxfId="53">
      <calculatedColumnFormula>VLOOKUP(Tabla69[[#This Row],[NIT Agente]],Tabla4[#All],2,FALSE)</calculatedColumnFormula>
    </tableColumn>
    <tableColumn id="3" name="Fecha de emisión" dataDxfId="52"/>
    <tableColumn id="4" name="Tipo de documento" totalsRowFunction="sum" dataDxfId="51" totalsRowDxfId="50"/>
    <tableColumn id="5" name="Serie" totalsRowFunction="sum" dataDxfId="49" totalsRowDxfId="48"/>
    <tableColumn id="6" name="Número de documento" totalsRowFunction="sum" dataDxfId="47" totalsRowDxfId="46"/>
    <tableColumn id="7" name="Monto sujeto" totalsRowFunction="sum" dataDxfId="45" totalsRowDxfId="44" dataCellStyle="Moneda"/>
    <tableColumn id="13" name="Columna3" dataDxfId="43" totalsRowDxfId="42" dataCellStyle="Moneda"/>
    <tableColumn id="8" name="Monto Retención 1%" totalsRowFunction="sum" dataDxfId="41" totalsRowDxfId="40" dataCellStyle="Moneda"/>
    <tableColumn id="9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430" totalsRowShown="0">
  <autoFilter ref="A1:B4430"/>
  <tableColumns count="2">
    <tableColumn id="1" name="NIT" dataDxfId="38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37" dataDxfId="36" headerRowCellStyle="Moneda" dataCellStyle="Moneda">
  <autoFilter ref="A2:S4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5" dataCellStyle="Moneda"/>
    <tableColumn id="8" name="MONTO DEVENGADO POR BONIFICACIONES Y GRATIFICACIONES " totalsRowFunction="sum" dataDxfId="34" totalsRowDxfId="33" dataCellStyle="Moneda"/>
    <tableColumn id="9" name="IMPUESTO RETENIDO " totalsRowFunction="sum" dataDxfId="32" totalsRowDxfId="31" dataCellStyle="Moneda"/>
    <tableColumn id="10" name="AGUINALDO EXENTO " totalsRowFunction="sum" dataDxfId="30" totalsRowDxfId="29" dataCellStyle="Moneda"/>
    <tableColumn id="11" name="AGUINALDO GRAVADO " totalsRowFunction="sum" dataDxfId="28" totalsRowDxfId="27" dataCellStyle="Moneda"/>
    <tableColumn id="12" name="AFP" totalsRowFunction="sum" dataDxfId="26" totalsRowDxfId="25" dataCellStyle="Moneda"/>
    <tableColumn id="13" name="ISSS" totalsRowFunction="sum" dataDxfId="24" totalsRowDxfId="23" dataCellStyle="Moneda"/>
    <tableColumn id="14" name="INPEP" totalsRowFunction="sum" dataDxfId="22" totalsRowDxfId="21" dataCellStyle="Moneda"/>
    <tableColumn id="15" name="IPSFA" totalsRowFunction="sum" dataDxfId="20" totalsRowDxfId="19" dataCellStyle="Moneda"/>
    <tableColumn id="16" name="CEFAFA" totalsRowFunction="sum" dataDxfId="18" totalsRowDxfId="17" dataCellStyle="Moneda"/>
    <tableColumn id="17" name="BIENESTAR MAGISTERIAL" dataDxfId="16" dataCellStyle="Moneda"/>
    <tableColumn id="18" name="ISSS IVM " dataDxfId="15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4" dataDxfId="12" headerRowBorderDxfId="13" tableBorderDxfId="11" totalsRowBorderDxfId="10">
  <tableColumns count="3">
    <tableColumn id="1" name="Columna1" dataDxfId="9"/>
    <tableColumn id="2" name="JULIO" dataDxfId="8" dataCellStyle="Moneda"/>
    <tableColumn id="3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9021</v>
      </c>
      <c r="XFD3" t="s">
        <v>8491</v>
      </c>
    </row>
    <row r="4" spans="2:6 16384:16384" x14ac:dyDescent="0.25">
      <c r="B4" s="23" t="s">
        <v>2</v>
      </c>
      <c r="D4" s="45" t="s">
        <v>9080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6"/>
      <c r="XFD7" t="s">
        <v>8490</v>
      </c>
    </row>
    <row r="8" spans="2:6 16384:16384" x14ac:dyDescent="0.25">
      <c r="B8" s="23" t="s">
        <v>6</v>
      </c>
      <c r="D8" s="43" t="s">
        <v>1443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IFERROR(IF(D8&lt;&gt;"",VLOOKUP(D8,Tabla4[#All],2,0),IF(D19&lt;&gt;0,VLOOKUP(D8,Tabla4[#All],2,0),0)),"")</f>
        <v>INVERSIONES RAMIREZ S.A DE C.V</v>
      </c>
      <c r="XFD9" t="s">
        <v>9021</v>
      </c>
    </row>
    <row r="10" spans="2:6 16384:16384" x14ac:dyDescent="0.25">
      <c r="B10" s="23" t="s">
        <v>7</v>
      </c>
      <c r="D10" s="104">
        <v>0</v>
      </c>
      <c r="F10" s="2"/>
      <c r="XFD10" t="s">
        <v>9022</v>
      </c>
    </row>
    <row r="11" spans="2:6 16384:16384" x14ac:dyDescent="0.25">
      <c r="B11" s="23" t="s">
        <v>8</v>
      </c>
      <c r="D11" s="104">
        <v>0</v>
      </c>
      <c r="F11" s="2"/>
      <c r="XFD11" t="s">
        <v>9023</v>
      </c>
    </row>
    <row r="12" spans="2:6 16384:16384" x14ac:dyDescent="0.25">
      <c r="B12" s="23" t="s">
        <v>9</v>
      </c>
      <c r="D12" s="104">
        <v>0</v>
      </c>
      <c r="F12" s="2"/>
      <c r="XFD12" t="s">
        <v>9024</v>
      </c>
    </row>
    <row r="13" spans="2:6 16384:16384" x14ac:dyDescent="0.25">
      <c r="B13" s="23" t="s">
        <v>10</v>
      </c>
      <c r="D13" s="105"/>
      <c r="F13" s="15"/>
      <c r="XFD13" t="s">
        <v>9025</v>
      </c>
    </row>
    <row r="14" spans="2:6 16384:16384" x14ac:dyDescent="0.25">
      <c r="B14" s="23" t="s">
        <v>11</v>
      </c>
      <c r="D14" s="104">
        <v>0</v>
      </c>
      <c r="F14" s="2"/>
      <c r="XFD14" t="s">
        <v>9026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 t="s">
        <v>7868</v>
      </c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036"/>
  <sheetViews>
    <sheetView topLeftCell="C1" zoomScaleNormal="100" workbookViewId="0">
      <selection activeCell="B3" sqref="B3:R8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9021</v>
      </c>
      <c r="B3" t="s">
        <v>9080</v>
      </c>
      <c r="C3" t="s">
        <v>7706</v>
      </c>
      <c r="D3" t="s">
        <v>0</v>
      </c>
      <c r="E3">
        <v>16187</v>
      </c>
      <c r="F3" t="s">
        <v>1443</v>
      </c>
      <c r="G3" t="s">
        <v>1444</v>
      </c>
      <c r="H3" s="2">
        <v>16.48</v>
      </c>
      <c r="I3" s="2">
        <v>0</v>
      </c>
      <c r="J3" s="2">
        <v>0</v>
      </c>
      <c r="K3" s="15">
        <v>162.4</v>
      </c>
      <c r="L3" s="2">
        <v>0</v>
      </c>
      <c r="M3" s="2">
        <v>0</v>
      </c>
      <c r="N3" s="2">
        <v>0</v>
      </c>
      <c r="O3" s="2">
        <v>21.112000000000002</v>
      </c>
      <c r="P3" s="2">
        <v>199.99199999999999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9021</v>
      </c>
      <c r="B4" t="s">
        <v>9080</v>
      </c>
      <c r="C4" t="s">
        <v>7706</v>
      </c>
      <c r="D4" t="s">
        <v>0</v>
      </c>
      <c r="E4">
        <v>1086</v>
      </c>
      <c r="F4" t="s">
        <v>9064</v>
      </c>
      <c r="G4" t="s">
        <v>9065</v>
      </c>
      <c r="H4" s="2">
        <v>0</v>
      </c>
      <c r="I4" s="2">
        <v>0</v>
      </c>
      <c r="J4" s="2">
        <v>0</v>
      </c>
      <c r="K4" s="15">
        <v>84.46</v>
      </c>
      <c r="L4" s="2">
        <v>0</v>
      </c>
      <c r="M4" s="2">
        <v>0</v>
      </c>
      <c r="N4" s="2">
        <v>0</v>
      </c>
      <c r="O4" s="2">
        <v>10.979799999999999</v>
      </c>
      <c r="P4" s="2">
        <v>95.439799999999991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9021</v>
      </c>
      <c r="B5" t="s">
        <v>9080</v>
      </c>
      <c r="C5" t="s">
        <v>7706</v>
      </c>
      <c r="D5" t="s">
        <v>0</v>
      </c>
      <c r="E5">
        <v>2752</v>
      </c>
      <c r="F5" t="s">
        <v>7310</v>
      </c>
      <c r="G5" t="s">
        <v>7311</v>
      </c>
      <c r="H5" s="2">
        <v>0</v>
      </c>
      <c r="I5" s="2">
        <v>0</v>
      </c>
      <c r="J5" s="2">
        <v>0</v>
      </c>
      <c r="K5" s="15">
        <v>35.1</v>
      </c>
      <c r="L5" s="2">
        <v>0</v>
      </c>
      <c r="M5" s="2">
        <v>0</v>
      </c>
      <c r="N5" s="2">
        <v>0</v>
      </c>
      <c r="O5" s="2">
        <v>4.5630000000000006</v>
      </c>
      <c r="P5" s="2">
        <v>39.663000000000004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9021</v>
      </c>
      <c r="B6" t="s">
        <v>9078</v>
      </c>
      <c r="C6" t="s">
        <v>7706</v>
      </c>
      <c r="D6" t="s">
        <v>0</v>
      </c>
      <c r="E6">
        <v>15103</v>
      </c>
      <c r="F6" t="s">
        <v>1443</v>
      </c>
      <c r="G6" t="s">
        <v>1444</v>
      </c>
      <c r="H6" s="2">
        <v>16.86</v>
      </c>
      <c r="I6" s="2">
        <v>0</v>
      </c>
      <c r="J6" s="2">
        <v>0</v>
      </c>
      <c r="K6" s="15">
        <v>162.08000000000001</v>
      </c>
      <c r="L6" s="2">
        <v>0</v>
      </c>
      <c r="M6" s="2">
        <v>0</v>
      </c>
      <c r="N6" s="2">
        <v>0</v>
      </c>
      <c r="O6" s="2">
        <v>21.070400000000003</v>
      </c>
      <c r="P6" s="2">
        <v>200.0104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9021</v>
      </c>
      <c r="B7" t="s">
        <v>9083</v>
      </c>
      <c r="C7" t="s">
        <v>7706</v>
      </c>
      <c r="D7" t="s">
        <v>0</v>
      </c>
      <c r="E7">
        <v>14451</v>
      </c>
      <c r="F7" t="s">
        <v>1443</v>
      </c>
      <c r="G7" t="s">
        <v>1444</v>
      </c>
      <c r="H7" s="2">
        <v>16.86</v>
      </c>
      <c r="I7" s="2">
        <v>0</v>
      </c>
      <c r="J7" s="2">
        <v>0</v>
      </c>
      <c r="K7" s="15">
        <v>162.08000000000001</v>
      </c>
      <c r="L7" s="2">
        <v>0</v>
      </c>
      <c r="M7" s="2">
        <v>0</v>
      </c>
      <c r="N7" s="2">
        <v>0</v>
      </c>
      <c r="O7" s="2">
        <v>21.070400000000003</v>
      </c>
      <c r="P7" s="2">
        <v>200.0104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9021</v>
      </c>
      <c r="B8" t="s">
        <v>9082</v>
      </c>
      <c r="C8" t="s">
        <v>7706</v>
      </c>
      <c r="D8" t="s">
        <v>0</v>
      </c>
      <c r="E8">
        <v>13343</v>
      </c>
      <c r="F8" t="s">
        <v>1443</v>
      </c>
      <c r="G8" t="s">
        <v>1444</v>
      </c>
      <c r="H8" s="2">
        <v>17.04</v>
      </c>
      <c r="I8" s="2">
        <v>0</v>
      </c>
      <c r="J8" s="2">
        <v>0</v>
      </c>
      <c r="K8" s="15">
        <v>161.9</v>
      </c>
      <c r="L8" s="2">
        <v>0</v>
      </c>
      <c r="M8" s="2">
        <v>0</v>
      </c>
      <c r="N8" s="2">
        <v>0</v>
      </c>
      <c r="O8" s="2">
        <v>21.047000000000001</v>
      </c>
      <c r="P8" s="2">
        <v>199.98699999999999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8489</v>
      </c>
      <c r="B9" t="s">
        <v>9075</v>
      </c>
      <c r="C9" t="s">
        <v>7706</v>
      </c>
      <c r="D9" t="s">
        <v>0</v>
      </c>
      <c r="E9">
        <v>847</v>
      </c>
      <c r="F9" t="s">
        <v>9064</v>
      </c>
      <c r="G9" t="s">
        <v>9065</v>
      </c>
      <c r="H9" s="2">
        <v>0</v>
      </c>
      <c r="I9" s="2">
        <v>0</v>
      </c>
      <c r="J9" s="2">
        <v>0</v>
      </c>
      <c r="K9" s="15">
        <v>76.28</v>
      </c>
      <c r="L9" s="2">
        <v>0</v>
      </c>
      <c r="M9" s="2">
        <v>0</v>
      </c>
      <c r="N9" s="2">
        <v>0</v>
      </c>
      <c r="O9" s="2">
        <v>9.9164000000000012</v>
      </c>
      <c r="P9" s="2">
        <v>86.196399999999997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8489</v>
      </c>
      <c r="B10" t="s">
        <v>9075</v>
      </c>
      <c r="C10" t="s">
        <v>7706</v>
      </c>
      <c r="D10" t="s">
        <v>0</v>
      </c>
      <c r="E10">
        <v>5491</v>
      </c>
      <c r="F10" t="s">
        <v>1443</v>
      </c>
      <c r="G10" t="s">
        <v>1444</v>
      </c>
      <c r="H10" s="2">
        <v>16.86</v>
      </c>
      <c r="I10" s="2">
        <v>0</v>
      </c>
      <c r="J10" s="2">
        <v>0</v>
      </c>
      <c r="K10" s="15">
        <v>162.08000000000001</v>
      </c>
      <c r="L10" s="2">
        <v>0</v>
      </c>
      <c r="M10" s="2">
        <v>0</v>
      </c>
      <c r="N10" s="2">
        <v>0</v>
      </c>
      <c r="O10" s="2">
        <v>21.070400000000003</v>
      </c>
      <c r="P10" s="2">
        <v>200.0104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8489</v>
      </c>
      <c r="B11" t="s">
        <v>9074</v>
      </c>
      <c r="C11" t="s">
        <v>7706</v>
      </c>
      <c r="D11" t="s">
        <v>0</v>
      </c>
      <c r="E11">
        <v>59223</v>
      </c>
      <c r="F11" t="s">
        <v>1443</v>
      </c>
      <c r="G11" t="s">
        <v>1444</v>
      </c>
      <c r="H11" s="2">
        <v>16.950000000000003</v>
      </c>
      <c r="I11" s="2">
        <v>0</v>
      </c>
      <c r="J11" s="2">
        <v>0</v>
      </c>
      <c r="K11" s="15">
        <v>161.99</v>
      </c>
      <c r="L11" s="2">
        <v>0</v>
      </c>
      <c r="M11" s="2">
        <v>0</v>
      </c>
      <c r="N11" s="2">
        <v>0</v>
      </c>
      <c r="O11" s="2">
        <v>21.058700000000002</v>
      </c>
      <c r="P11" s="2">
        <v>199.99869999999999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8489</v>
      </c>
      <c r="B12" t="s">
        <v>9073</v>
      </c>
      <c r="C12" t="s">
        <v>7706</v>
      </c>
      <c r="D12" t="s">
        <v>0</v>
      </c>
      <c r="E12">
        <v>11636</v>
      </c>
      <c r="F12" t="s">
        <v>1443</v>
      </c>
      <c r="G12" t="s">
        <v>1444</v>
      </c>
      <c r="H12" s="2">
        <v>17.190000000000001</v>
      </c>
      <c r="I12" s="2">
        <v>0</v>
      </c>
      <c r="J12" s="2">
        <v>0</v>
      </c>
      <c r="K12" s="15">
        <v>161.78</v>
      </c>
      <c r="L12" s="2">
        <v>0</v>
      </c>
      <c r="M12" s="2">
        <v>0</v>
      </c>
      <c r="N12" s="2">
        <v>0</v>
      </c>
      <c r="O12" s="2">
        <v>21.031400000000001</v>
      </c>
      <c r="P12" s="2">
        <v>200.00139999999999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8489</v>
      </c>
      <c r="B13" t="s">
        <v>9072</v>
      </c>
      <c r="C13" t="s">
        <v>7706</v>
      </c>
      <c r="D13" t="s">
        <v>0</v>
      </c>
      <c r="E13">
        <v>790</v>
      </c>
      <c r="F13" t="s">
        <v>9064</v>
      </c>
      <c r="G13" t="s">
        <v>9065</v>
      </c>
      <c r="H13" s="2">
        <v>0</v>
      </c>
      <c r="I13" s="2">
        <v>0</v>
      </c>
      <c r="J13" s="2">
        <v>0</v>
      </c>
      <c r="K13" s="15">
        <v>53.56</v>
      </c>
      <c r="L13" s="2">
        <v>0</v>
      </c>
      <c r="M13" s="2">
        <v>0</v>
      </c>
      <c r="N13" s="2">
        <v>0</v>
      </c>
      <c r="O13" s="2">
        <v>6.9628000000000005</v>
      </c>
      <c r="P13" s="2">
        <v>60.522800000000004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8489</v>
      </c>
      <c r="B14" t="s">
        <v>9071</v>
      </c>
      <c r="C14" t="s">
        <v>7706</v>
      </c>
      <c r="D14" t="s">
        <v>0</v>
      </c>
      <c r="E14">
        <v>9946</v>
      </c>
      <c r="F14" t="s">
        <v>1443</v>
      </c>
      <c r="G14" t="s">
        <v>1444</v>
      </c>
      <c r="H14" s="2">
        <v>17.190000000000001</v>
      </c>
      <c r="I14" s="2">
        <v>0</v>
      </c>
      <c r="J14" s="2">
        <v>0</v>
      </c>
      <c r="K14" s="15">
        <v>161.78</v>
      </c>
      <c r="L14" s="2">
        <v>0</v>
      </c>
      <c r="M14" s="2">
        <v>0</v>
      </c>
      <c r="N14" s="2">
        <v>0</v>
      </c>
      <c r="O14" s="2">
        <v>21.031400000000001</v>
      </c>
      <c r="P14" s="2">
        <v>200.00139999999999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8489</v>
      </c>
      <c r="B15" t="s">
        <v>9071</v>
      </c>
      <c r="C15" t="s">
        <v>7706</v>
      </c>
      <c r="D15" t="s">
        <v>0</v>
      </c>
      <c r="E15">
        <v>45085</v>
      </c>
      <c r="F15" t="s">
        <v>1443</v>
      </c>
      <c r="G15" t="s">
        <v>1444</v>
      </c>
      <c r="H15" s="2">
        <v>17.190000000000001</v>
      </c>
      <c r="I15" s="2">
        <v>0</v>
      </c>
      <c r="J15" s="2">
        <v>0</v>
      </c>
      <c r="K15" s="15">
        <v>161.78</v>
      </c>
      <c r="L15" s="2">
        <v>0</v>
      </c>
      <c r="M15" s="2">
        <v>0</v>
      </c>
      <c r="N15" s="2">
        <v>0</v>
      </c>
      <c r="O15" s="2">
        <v>21.031400000000001</v>
      </c>
      <c r="P15" s="2">
        <v>200.00139999999999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8490</v>
      </c>
      <c r="B16" t="s">
        <v>9069</v>
      </c>
      <c r="C16" t="s">
        <v>7706</v>
      </c>
      <c r="D16" t="s">
        <v>0</v>
      </c>
      <c r="E16">
        <v>599972</v>
      </c>
      <c r="F16" t="s">
        <v>1369</v>
      </c>
      <c r="G16" t="s">
        <v>1370</v>
      </c>
      <c r="H16" s="2">
        <v>4.1100000000000003</v>
      </c>
      <c r="I16" s="2">
        <v>0</v>
      </c>
      <c r="J16" s="2">
        <v>0</v>
      </c>
      <c r="K16" s="15">
        <v>40.61</v>
      </c>
      <c r="L16" s="2">
        <v>0</v>
      </c>
      <c r="M16" s="2">
        <v>0</v>
      </c>
      <c r="N16" s="2">
        <v>0</v>
      </c>
      <c r="O16" s="2">
        <v>5.2793000000000001</v>
      </c>
      <c r="P16" s="2">
        <v>49.999299999999998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8490</v>
      </c>
      <c r="B17" t="s">
        <v>9066</v>
      </c>
      <c r="C17" t="s">
        <v>7706</v>
      </c>
      <c r="D17" t="s">
        <v>0</v>
      </c>
      <c r="E17">
        <v>273</v>
      </c>
      <c r="F17" t="s">
        <v>9067</v>
      </c>
      <c r="G17" t="s">
        <v>9068</v>
      </c>
      <c r="H17" s="2">
        <v>0</v>
      </c>
      <c r="I17" s="2">
        <v>0</v>
      </c>
      <c r="J17" s="2">
        <v>0</v>
      </c>
      <c r="K17" s="15">
        <v>70.8</v>
      </c>
      <c r="L17" s="2">
        <v>0</v>
      </c>
      <c r="M17" s="2">
        <v>0</v>
      </c>
      <c r="N17" s="2">
        <v>0</v>
      </c>
      <c r="O17" s="2">
        <v>9.2040000000000006</v>
      </c>
      <c r="P17" s="2">
        <v>80.003999999999991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8490</v>
      </c>
      <c r="B18" t="s">
        <v>9063</v>
      </c>
      <c r="C18" t="s">
        <v>7706</v>
      </c>
      <c r="D18" t="s">
        <v>0</v>
      </c>
      <c r="E18">
        <v>2013</v>
      </c>
      <c r="F18" t="s">
        <v>4359</v>
      </c>
      <c r="G18" t="s">
        <v>4360</v>
      </c>
      <c r="H18" s="2">
        <v>0</v>
      </c>
      <c r="I18" s="2">
        <v>0</v>
      </c>
      <c r="J18" s="2">
        <v>0</v>
      </c>
      <c r="K18" s="15">
        <v>584</v>
      </c>
      <c r="L18" s="2">
        <v>0</v>
      </c>
      <c r="M18" s="2">
        <v>0</v>
      </c>
      <c r="N18" s="2">
        <v>0</v>
      </c>
      <c r="O18" s="2">
        <v>75.92</v>
      </c>
      <c r="P18" s="2">
        <v>659.92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8490</v>
      </c>
      <c r="B19" t="s">
        <v>9063</v>
      </c>
      <c r="C19" t="s">
        <v>7706</v>
      </c>
      <c r="D19" t="s">
        <v>0</v>
      </c>
      <c r="E19">
        <v>426</v>
      </c>
      <c r="F19" t="s">
        <v>9064</v>
      </c>
      <c r="G19" t="s">
        <v>9065</v>
      </c>
      <c r="H19" s="2">
        <v>0</v>
      </c>
      <c r="I19" s="2">
        <v>0</v>
      </c>
      <c r="J19" s="2">
        <v>0</v>
      </c>
      <c r="K19" s="15">
        <v>40.119999999999997</v>
      </c>
      <c r="L19" s="2">
        <v>0</v>
      </c>
      <c r="M19" s="2">
        <v>0</v>
      </c>
      <c r="N19" s="2">
        <v>0</v>
      </c>
      <c r="O19" s="2">
        <v>5.2156000000000002</v>
      </c>
      <c r="P19" s="2">
        <v>45.335599999999999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8490</v>
      </c>
      <c r="B20" t="s">
        <v>9062</v>
      </c>
      <c r="C20" t="s">
        <v>7706</v>
      </c>
      <c r="D20" t="s">
        <v>0</v>
      </c>
      <c r="E20">
        <v>8976</v>
      </c>
      <c r="F20" t="s">
        <v>1443</v>
      </c>
      <c r="G20" t="s">
        <v>1444</v>
      </c>
      <c r="H20" s="2">
        <v>16.91</v>
      </c>
      <c r="I20" s="2">
        <v>0</v>
      </c>
      <c r="J20" s="2">
        <v>0</v>
      </c>
      <c r="K20" s="15">
        <v>162.03</v>
      </c>
      <c r="L20" s="2">
        <v>0</v>
      </c>
      <c r="M20" s="2">
        <v>0</v>
      </c>
      <c r="N20" s="2">
        <v>0</v>
      </c>
      <c r="O20" s="2">
        <v>21.0639</v>
      </c>
      <c r="P20" s="2">
        <v>200.00389999999999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ht="15.75" thickBot="1" x14ac:dyDescent="0.3">
      <c r="T21" s="2"/>
      <c r="U21" s="2"/>
    </row>
    <row r="22" spans="1:21" ht="15.75" thickBot="1" x14ac:dyDescent="0.3">
      <c r="A22" s="127" t="s">
        <v>71</v>
      </c>
      <c r="B22" s="128"/>
      <c r="C22" s="128"/>
      <c r="D22" s="128"/>
      <c r="E22" s="128"/>
      <c r="F22" s="128"/>
      <c r="G22" s="129"/>
      <c r="H22" s="3">
        <f>+SUBTOTAL(9,Tabla1[C. EXENTAS])</f>
        <v>173.64000000000001</v>
      </c>
      <c r="I22" s="3">
        <f>+SUBTOTAL(9,Tabla1[I. EXENTAS])</f>
        <v>0</v>
      </c>
      <c r="J22" s="3">
        <f>+SUBTOTAL(9,Tabla1[IMPOR EX])</f>
        <v>0</v>
      </c>
      <c r="K22" s="3">
        <f>+SUBTOTAL(9,Tabla1[C. GRAVADA])</f>
        <v>2604.83</v>
      </c>
      <c r="L22" s="3">
        <f>+SUBTOTAL(9,Tabla1[INTER GRAVA])</f>
        <v>0</v>
      </c>
      <c r="M22" s="3">
        <f>+SUBTOTAL(9,Tabla1[IMPOR BIENES])</f>
        <v>0</v>
      </c>
      <c r="N22" s="3">
        <f>+SUBTOTAL(9,Tabla1[IMPOR SERV])</f>
        <v>0</v>
      </c>
      <c r="O22" s="3">
        <f>+SUBTOTAL(9,Tabla1[IVA])</f>
        <v>338.62789999999995</v>
      </c>
      <c r="P22" s="3">
        <f>+SUBTOTAL(9,Tabla1[TOTAL C.])</f>
        <v>3117.0979000000002</v>
      </c>
      <c r="Q22" s="3"/>
      <c r="R22" s="3">
        <f>+SUBTOTAL(9,Tabla1[ANEXO 3])</f>
        <v>0</v>
      </c>
      <c r="S22" s="3"/>
      <c r="T22" s="3">
        <f>+SUBTOTAL(9,Tabla1[PERCEPCIONES])</f>
        <v>0</v>
      </c>
      <c r="U22" s="2"/>
    </row>
    <row r="23" spans="1:21" x14ac:dyDescent="0.25">
      <c r="U23" s="2"/>
    </row>
    <row r="24" spans="1:21" x14ac:dyDescent="0.25">
      <c r="U24" s="2"/>
    </row>
    <row r="25" spans="1:21" x14ac:dyDescent="0.25">
      <c r="U25" s="2"/>
    </row>
    <row r="26" spans="1:21" x14ac:dyDescent="0.25"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114"/>
    </row>
    <row r="55" spans="21:21" x14ac:dyDescent="0.25">
      <c r="U55" s="114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1036" spans="1:20" s="42" customFormat="1" x14ac:dyDescent="0.25">
      <c r="A1036"/>
      <c r="B1036"/>
      <c r="C1036"/>
      <c r="D1036"/>
      <c r="E1036"/>
      <c r="F1036"/>
      <c r="G1036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/>
      <c r="S1036"/>
      <c r="T1036"/>
    </row>
  </sheetData>
  <dataConsolidate/>
  <mergeCells count="1">
    <mergeCell ref="A22:G22"/>
  </mergeCells>
  <phoneticPr fontId="8" type="noConversion"/>
  <conditionalFormatting sqref="E1:E1048576">
    <cfRule type="duplicateValues" dxfId="91" priority="21"/>
    <cfRule type="duplicateValues" dxfId="9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9021</v>
      </c>
      <c r="F2" s="2"/>
      <c r="XFD2" t="s">
        <v>8491</v>
      </c>
    </row>
    <row r="3" spans="1:9 16384:16384" x14ac:dyDescent="0.25">
      <c r="B3" s="23" t="s">
        <v>2</v>
      </c>
      <c r="D3" s="47">
        <v>45138</v>
      </c>
      <c r="F3" s="40"/>
      <c r="XFD3" t="s">
        <v>8486</v>
      </c>
    </row>
    <row r="4" spans="1:9 16384:16384" x14ac:dyDescent="0.25">
      <c r="B4" s="23" t="s">
        <v>3</v>
      </c>
      <c r="D4" s="73" t="s">
        <v>1</v>
      </c>
      <c r="F4" s="2"/>
      <c r="XFD4" t="s">
        <v>8487</v>
      </c>
    </row>
    <row r="5" spans="1:9 16384:16384" x14ac:dyDescent="0.25">
      <c r="B5" s="23" t="s">
        <v>4</v>
      </c>
      <c r="D5" s="73" t="s">
        <v>0</v>
      </c>
      <c r="F5" s="2"/>
      <c r="XFD5" t="s">
        <v>8488</v>
      </c>
    </row>
    <row r="6" spans="1:9 16384:16384" x14ac:dyDescent="0.25">
      <c r="B6" s="24" t="s">
        <v>28</v>
      </c>
      <c r="D6" s="74" t="s">
        <v>9055</v>
      </c>
      <c r="F6" s="2"/>
      <c r="XFD6" t="s">
        <v>8490</v>
      </c>
    </row>
    <row r="7" spans="1:9 16384:16384" x14ac:dyDescent="0.25">
      <c r="B7" s="23" t="s">
        <v>27</v>
      </c>
      <c r="D7" s="74" t="s">
        <v>9057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8"/>
      <c r="F10" s="39"/>
      <c r="XFD10" t="s">
        <v>9023</v>
      </c>
    </row>
    <row r="11" spans="1:9 16384:16384" ht="16.5" customHeight="1" x14ac:dyDescent="0.25">
      <c r="B11" s="24" t="s">
        <v>72</v>
      </c>
      <c r="D11" s="103">
        <f>IFERROR(IF(D10&lt;&gt;"",VLOOKUP(D10,Tabla4[#All],2,0),IF(D19&lt;&gt;0,VLOOKUP(D19,Tabla4[#All],2,0),0)),"")</f>
        <v>0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S9756"/>
  <sheetViews>
    <sheetView zoomScale="85" zoomScaleNormal="85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9021</v>
      </c>
      <c r="B3" s="40">
        <v>45138</v>
      </c>
      <c r="C3" s="2" t="s">
        <v>1</v>
      </c>
      <c r="D3" s="2" t="s">
        <v>0</v>
      </c>
      <c r="E3" s="2" t="s">
        <v>9055</v>
      </c>
      <c r="F3" s="2" t="s">
        <v>9057</v>
      </c>
      <c r="G3" s="33">
        <v>7</v>
      </c>
      <c r="H3" s="38">
        <v>7</v>
      </c>
      <c r="I3" s="39"/>
      <c r="J3" s="32" t="s">
        <v>9061</v>
      </c>
      <c r="K3" s="2">
        <v>0</v>
      </c>
      <c r="L3" s="2">
        <v>0</v>
      </c>
      <c r="M3" s="32">
        <v>1292.04</v>
      </c>
      <c r="N3" s="2">
        <v>167.96520000000001</v>
      </c>
      <c r="O3" s="2">
        <v>0</v>
      </c>
      <c r="P3" s="2">
        <v>0</v>
      </c>
      <c r="Q3" s="32">
        <v>1460.0052000000001</v>
      </c>
      <c r="R3" s="2" t="s">
        <v>9060</v>
      </c>
      <c r="S3" s="2" t="s">
        <v>1</v>
      </c>
    </row>
    <row r="4" spans="1:19" x14ac:dyDescent="0.25">
      <c r="A4" s="2" t="s">
        <v>9021</v>
      </c>
      <c r="B4" s="40">
        <v>45135</v>
      </c>
      <c r="C4" s="2" t="s">
        <v>1</v>
      </c>
      <c r="D4" s="2" t="s">
        <v>0</v>
      </c>
      <c r="E4" s="2" t="s">
        <v>9055</v>
      </c>
      <c r="F4" s="2" t="s">
        <v>9057</v>
      </c>
      <c r="G4" s="33">
        <v>6</v>
      </c>
      <c r="H4" s="38">
        <v>6</v>
      </c>
      <c r="I4" s="39" t="s">
        <v>9058</v>
      </c>
      <c r="J4" s="32" t="s">
        <v>9059</v>
      </c>
      <c r="K4" s="2">
        <v>0</v>
      </c>
      <c r="L4" s="2">
        <v>0</v>
      </c>
      <c r="M4" s="32">
        <v>66.37</v>
      </c>
      <c r="N4" s="2">
        <v>8.6281000000000017</v>
      </c>
      <c r="O4" s="2">
        <v>0</v>
      </c>
      <c r="P4" s="2">
        <v>0</v>
      </c>
      <c r="Q4" s="32">
        <v>74.998100000000008</v>
      </c>
      <c r="S4" s="2" t="s">
        <v>1</v>
      </c>
    </row>
    <row r="5" spans="1:19" x14ac:dyDescent="0.25">
      <c r="A5" s="2" t="s">
        <v>9021</v>
      </c>
      <c r="B5" s="40">
        <v>45117</v>
      </c>
      <c r="C5" s="2" t="s">
        <v>1</v>
      </c>
      <c r="D5" s="2" t="s">
        <v>0</v>
      </c>
      <c r="E5" s="2" t="s">
        <v>9055</v>
      </c>
      <c r="F5" s="2" t="s">
        <v>9057</v>
      </c>
      <c r="G5" s="33">
        <v>5</v>
      </c>
      <c r="H5" s="38">
        <v>5</v>
      </c>
      <c r="I5" s="39" t="s">
        <v>9058</v>
      </c>
      <c r="J5" s="32" t="s">
        <v>9059</v>
      </c>
      <c r="K5" s="2">
        <v>0</v>
      </c>
      <c r="L5" s="2">
        <v>0</v>
      </c>
      <c r="M5" s="32">
        <v>75.22</v>
      </c>
      <c r="N5" s="2">
        <v>9.7786000000000008</v>
      </c>
      <c r="O5" s="2">
        <v>0</v>
      </c>
      <c r="P5" s="2">
        <v>0</v>
      </c>
      <c r="Q5" s="32">
        <v>84.998599999999996</v>
      </c>
      <c r="S5" s="2" t="s">
        <v>1</v>
      </c>
    </row>
    <row r="6" spans="1:19" x14ac:dyDescent="0.25">
      <c r="A6" s="2" t="s">
        <v>8489</v>
      </c>
      <c r="B6" s="40">
        <v>45090</v>
      </c>
      <c r="C6" s="2" t="s">
        <v>1</v>
      </c>
      <c r="D6" s="2" t="s">
        <v>0</v>
      </c>
      <c r="E6" s="2" t="s">
        <v>9055</v>
      </c>
      <c r="F6" s="2" t="s">
        <v>9057</v>
      </c>
      <c r="G6" s="33">
        <v>4</v>
      </c>
      <c r="H6" s="38">
        <v>4</v>
      </c>
      <c r="I6" s="39"/>
      <c r="J6" s="32" t="s">
        <v>9061</v>
      </c>
      <c r="K6" s="2">
        <v>0</v>
      </c>
      <c r="L6" s="2">
        <v>0</v>
      </c>
      <c r="M6" s="32">
        <v>1292.04</v>
      </c>
      <c r="N6" s="2">
        <v>167.96520000000001</v>
      </c>
      <c r="O6" s="2">
        <v>0</v>
      </c>
      <c r="P6" s="2">
        <v>0</v>
      </c>
      <c r="Q6" s="32">
        <v>1460.0052000000001</v>
      </c>
      <c r="R6" s="2" t="s">
        <v>9060</v>
      </c>
      <c r="S6" s="2" t="s">
        <v>1</v>
      </c>
    </row>
    <row r="7" spans="1:19" x14ac:dyDescent="0.25">
      <c r="A7" s="2" t="s">
        <v>8489</v>
      </c>
      <c r="B7" s="40">
        <v>45090</v>
      </c>
      <c r="C7" s="2" t="s">
        <v>1</v>
      </c>
      <c r="D7" s="2" t="s">
        <v>0</v>
      </c>
      <c r="E7" s="2" t="s">
        <v>9055</v>
      </c>
      <c r="F7" s="2" t="s">
        <v>9057</v>
      </c>
      <c r="G7" s="33">
        <v>3</v>
      </c>
      <c r="H7" s="38">
        <v>3</v>
      </c>
      <c r="I7" s="39" t="s">
        <v>9058</v>
      </c>
      <c r="J7" s="32" t="s">
        <v>9059</v>
      </c>
      <c r="K7" s="2">
        <v>0</v>
      </c>
      <c r="L7" s="2">
        <v>0</v>
      </c>
      <c r="M7" s="32">
        <v>75.22</v>
      </c>
      <c r="N7" s="2">
        <v>9.7786000000000008</v>
      </c>
      <c r="O7" s="2">
        <v>0</v>
      </c>
      <c r="P7" s="2">
        <v>0</v>
      </c>
      <c r="Q7" s="32">
        <v>84.998599999999996</v>
      </c>
      <c r="S7" s="2" t="s">
        <v>1</v>
      </c>
    </row>
    <row r="8" spans="1:19" x14ac:dyDescent="0.25">
      <c r="A8" s="2" t="s">
        <v>8490</v>
      </c>
      <c r="B8" s="40">
        <v>45077</v>
      </c>
      <c r="C8" s="2" t="s">
        <v>1</v>
      </c>
      <c r="D8" s="2" t="s">
        <v>0</v>
      </c>
      <c r="E8" s="2" t="s">
        <v>9055</v>
      </c>
      <c r="F8" s="2" t="s">
        <v>9057</v>
      </c>
      <c r="G8" s="33">
        <v>2</v>
      </c>
      <c r="H8" s="38">
        <v>2</v>
      </c>
      <c r="I8" s="39"/>
      <c r="J8" s="32" t="s">
        <v>9061</v>
      </c>
      <c r="K8" s="2">
        <v>0</v>
      </c>
      <c r="L8" s="2">
        <v>0</v>
      </c>
      <c r="M8" s="32">
        <v>1292.04</v>
      </c>
      <c r="N8" s="2">
        <v>167.96520000000001</v>
      </c>
      <c r="O8" s="2">
        <v>0</v>
      </c>
      <c r="P8" s="2">
        <v>0</v>
      </c>
      <c r="Q8" s="32">
        <v>1460.0052000000001</v>
      </c>
      <c r="R8" s="2" t="s">
        <v>9060</v>
      </c>
      <c r="S8" s="2" t="s">
        <v>1</v>
      </c>
    </row>
    <row r="9" spans="1:19" x14ac:dyDescent="0.25">
      <c r="A9" s="2" t="s">
        <v>8490</v>
      </c>
      <c r="B9" s="40">
        <v>45076</v>
      </c>
      <c r="C9" s="2" t="s">
        <v>1</v>
      </c>
      <c r="D9" s="2" t="s">
        <v>0</v>
      </c>
      <c r="E9" s="2" t="s">
        <v>9055</v>
      </c>
      <c r="F9" s="2" t="s">
        <v>9057</v>
      </c>
      <c r="G9" s="33">
        <v>1</v>
      </c>
      <c r="H9" s="38">
        <v>1</v>
      </c>
      <c r="I9" s="39" t="s">
        <v>9058</v>
      </c>
      <c r="J9" s="32" t="s">
        <v>9059</v>
      </c>
      <c r="K9" s="2">
        <v>0</v>
      </c>
      <c r="L9" s="2">
        <v>0</v>
      </c>
      <c r="M9" s="32">
        <v>75.22</v>
      </c>
      <c r="N9" s="2">
        <v>9.7786000000000008</v>
      </c>
      <c r="O9" s="2">
        <v>0</v>
      </c>
      <c r="P9" s="2">
        <v>0</v>
      </c>
      <c r="Q9" s="32">
        <v>84.998599999999996</v>
      </c>
      <c r="S9" s="2" t="s">
        <v>1</v>
      </c>
    </row>
    <row r="10" spans="1:19" ht="15.75" thickBot="1" x14ac:dyDescent="0.3">
      <c r="R10" s="15"/>
      <c r="S10" s="1"/>
    </row>
    <row r="11" spans="1:19" ht="15.75" thickBot="1" x14ac:dyDescent="0.3">
      <c r="A11" s="128"/>
      <c r="B11" s="128"/>
      <c r="C11" s="128"/>
      <c r="D11" s="128"/>
      <c r="E11" s="128"/>
      <c r="F11" s="128"/>
      <c r="G11" s="128"/>
      <c r="H11" s="128"/>
      <c r="I11" s="128"/>
      <c r="J11" s="129"/>
      <c r="K11" s="4">
        <f>+SUBTOTAL(9,Tabla2[VENTA EXENTA])</f>
        <v>0</v>
      </c>
      <c r="L11" s="4">
        <f>+SUBTOTAL(9,Tabla2[VENTA NO SUJETA])</f>
        <v>0</v>
      </c>
      <c r="M11" s="3">
        <f>+SUBTOTAL(9,Tabla2[V. GRAVADA])</f>
        <v>4168.1499999999996</v>
      </c>
      <c r="N11" s="4">
        <f>+SUBTOTAL(9,Tabla2[D.FISCAL])</f>
        <v>541.85950000000003</v>
      </c>
      <c r="O11" s="4">
        <f>+SUBTOTAL(9,Tabla2[V CTA DE 3])</f>
        <v>0</v>
      </c>
      <c r="P11" s="4">
        <f>+SUBTOTAL(9,Tabla2[D. FISCAL A 3])</f>
        <v>0</v>
      </c>
      <c r="Q11" s="4">
        <f>+SUBTOTAL(9,Tabla2[VENTA TOTAL])</f>
        <v>4710.0094999999992</v>
      </c>
      <c r="R11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11:J11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3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8324</v>
      </c>
      <c r="XFD2" t="s">
        <v>7944</v>
      </c>
    </row>
    <row r="3" spans="2:4 16384:16384" x14ac:dyDescent="0.25">
      <c r="B3" s="67" t="s">
        <v>2</v>
      </c>
      <c r="D3" s="7" t="s">
        <v>9081</v>
      </c>
      <c r="XFD3" t="s">
        <v>7981</v>
      </c>
    </row>
    <row r="4" spans="2:4 16384:16384" x14ac:dyDescent="0.25">
      <c r="B4" s="67" t="s">
        <v>3</v>
      </c>
      <c r="D4" s="73" t="s">
        <v>1</v>
      </c>
      <c r="XFD4" t="s">
        <v>8153</v>
      </c>
    </row>
    <row r="5" spans="2:4 16384:16384" ht="14.25" customHeight="1" x14ac:dyDescent="0.25">
      <c r="B5" s="68" t="s">
        <v>4</v>
      </c>
      <c r="D5" s="73" t="s">
        <v>7706</v>
      </c>
      <c r="XFD5" t="s">
        <v>8265</v>
      </c>
    </row>
    <row r="6" spans="2:4 16384:16384" ht="14.25" customHeight="1" x14ac:dyDescent="0.25">
      <c r="B6" s="69" t="s">
        <v>69</v>
      </c>
      <c r="D6" s="74" t="s">
        <v>9055</v>
      </c>
      <c r="XFD6" t="s">
        <v>8322</v>
      </c>
    </row>
    <row r="7" spans="2:4 16384:16384" ht="14.25" customHeight="1" x14ac:dyDescent="0.25">
      <c r="B7" s="69" t="s">
        <v>68</v>
      </c>
      <c r="D7" s="74" t="s">
        <v>9056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18"/>
  <sheetViews>
    <sheetView topLeftCell="D1" workbookViewId="0">
      <selection activeCell="B9" sqref="B3:V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8324</v>
      </c>
      <c r="B3" t="s">
        <v>9081</v>
      </c>
      <c r="C3" t="s">
        <v>1</v>
      </c>
      <c r="D3" t="s">
        <v>7706</v>
      </c>
      <c r="E3" t="s">
        <v>9055</v>
      </c>
      <c r="F3" t="s">
        <v>9056</v>
      </c>
      <c r="G3">
        <v>12</v>
      </c>
      <c r="H3">
        <v>12</v>
      </c>
      <c r="I3">
        <v>12</v>
      </c>
      <c r="J3">
        <v>12</v>
      </c>
      <c r="K3">
        <v>0</v>
      </c>
      <c r="L3" s="2">
        <v>0</v>
      </c>
      <c r="M3" s="2">
        <v>0</v>
      </c>
      <c r="N3" s="2">
        <v>0</v>
      </c>
      <c r="O3" s="2">
        <v>100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100</v>
      </c>
      <c r="V3" t="s">
        <v>55</v>
      </c>
    </row>
    <row r="4" spans="1:22" x14ac:dyDescent="0.25">
      <c r="A4" t="s">
        <v>8324</v>
      </c>
      <c r="B4" t="s">
        <v>9080</v>
      </c>
      <c r="C4" t="s">
        <v>1</v>
      </c>
      <c r="D4" t="s">
        <v>7706</v>
      </c>
      <c r="E4" t="s">
        <v>9055</v>
      </c>
      <c r="F4" t="s">
        <v>9056</v>
      </c>
      <c r="G4">
        <v>11</v>
      </c>
      <c r="H4">
        <v>11</v>
      </c>
      <c r="I4">
        <v>11</v>
      </c>
      <c r="J4">
        <v>11</v>
      </c>
      <c r="K4">
        <v>0</v>
      </c>
      <c r="L4" s="2">
        <v>0</v>
      </c>
      <c r="M4" s="2">
        <v>0</v>
      </c>
      <c r="N4" s="2">
        <v>0</v>
      </c>
      <c r="O4" s="2">
        <v>100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100</v>
      </c>
      <c r="V4" t="s">
        <v>55</v>
      </c>
    </row>
    <row r="5" spans="1:22" x14ac:dyDescent="0.25">
      <c r="A5" t="s">
        <v>8324</v>
      </c>
      <c r="B5" t="s">
        <v>9079</v>
      </c>
      <c r="C5" t="s">
        <v>1</v>
      </c>
      <c r="D5" t="s">
        <v>7706</v>
      </c>
      <c r="E5" t="s">
        <v>9055</v>
      </c>
      <c r="F5" t="s">
        <v>9056</v>
      </c>
      <c r="G5">
        <v>10</v>
      </c>
      <c r="H5">
        <v>10</v>
      </c>
      <c r="I5">
        <v>10</v>
      </c>
      <c r="J5">
        <v>10</v>
      </c>
      <c r="K5">
        <v>0</v>
      </c>
      <c r="L5" s="2">
        <v>0</v>
      </c>
      <c r="M5" s="2">
        <v>0</v>
      </c>
      <c r="N5" s="2">
        <v>0</v>
      </c>
      <c r="O5" s="2">
        <v>67.8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67.8</v>
      </c>
      <c r="V5" t="s">
        <v>55</v>
      </c>
    </row>
    <row r="6" spans="1:22" x14ac:dyDescent="0.25">
      <c r="A6" t="s">
        <v>8324</v>
      </c>
      <c r="B6" t="s">
        <v>9078</v>
      </c>
      <c r="C6" t="s">
        <v>1</v>
      </c>
      <c r="D6" t="s">
        <v>7706</v>
      </c>
      <c r="E6" t="s">
        <v>9055</v>
      </c>
      <c r="F6" t="s">
        <v>9056</v>
      </c>
      <c r="G6">
        <v>9</v>
      </c>
      <c r="H6">
        <v>9</v>
      </c>
      <c r="I6">
        <v>9</v>
      </c>
      <c r="J6">
        <v>9</v>
      </c>
      <c r="K6">
        <v>0</v>
      </c>
      <c r="L6" s="2">
        <v>0</v>
      </c>
      <c r="M6" s="2">
        <v>0</v>
      </c>
      <c r="N6" s="2">
        <v>0</v>
      </c>
      <c r="O6" s="2">
        <v>67.8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67.8</v>
      </c>
      <c r="V6" t="s">
        <v>55</v>
      </c>
    </row>
    <row r="7" spans="1:22" x14ac:dyDescent="0.25">
      <c r="A7" t="s">
        <v>8324</v>
      </c>
      <c r="B7" t="s">
        <v>9077</v>
      </c>
      <c r="C7" t="s">
        <v>1</v>
      </c>
      <c r="D7" t="s">
        <v>7706</v>
      </c>
      <c r="E7" t="s">
        <v>9055</v>
      </c>
      <c r="F7" t="s">
        <v>9056</v>
      </c>
      <c r="G7">
        <v>8</v>
      </c>
      <c r="H7">
        <v>8</v>
      </c>
      <c r="I7">
        <v>8</v>
      </c>
      <c r="J7">
        <v>8</v>
      </c>
      <c r="K7">
        <v>0</v>
      </c>
      <c r="L7" s="2">
        <v>0</v>
      </c>
      <c r="M7" s="2">
        <v>0</v>
      </c>
      <c r="N7" s="2">
        <v>0</v>
      </c>
      <c r="O7" s="2">
        <v>89.1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89.1</v>
      </c>
      <c r="V7" t="s">
        <v>55</v>
      </c>
    </row>
    <row r="8" spans="1:22" x14ac:dyDescent="0.25">
      <c r="A8" t="s">
        <v>8324</v>
      </c>
      <c r="B8" t="s">
        <v>9077</v>
      </c>
      <c r="C8" t="s">
        <v>1</v>
      </c>
      <c r="D8" t="s">
        <v>7706</v>
      </c>
      <c r="E8" t="s">
        <v>9055</v>
      </c>
      <c r="F8" t="s">
        <v>9056</v>
      </c>
      <c r="G8">
        <v>7</v>
      </c>
      <c r="H8">
        <v>7</v>
      </c>
      <c r="I8">
        <v>7</v>
      </c>
      <c r="J8">
        <v>7</v>
      </c>
      <c r="K8">
        <v>0</v>
      </c>
      <c r="L8" s="2">
        <v>0</v>
      </c>
      <c r="M8" s="2">
        <v>0</v>
      </c>
      <c r="N8" s="2">
        <v>0</v>
      </c>
      <c r="O8" s="2">
        <v>67.8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67.8</v>
      </c>
      <c r="V8" t="s">
        <v>55</v>
      </c>
    </row>
    <row r="9" spans="1:22" x14ac:dyDescent="0.25">
      <c r="A9" t="s">
        <v>8324</v>
      </c>
      <c r="B9" t="s">
        <v>9076</v>
      </c>
      <c r="C9" t="s">
        <v>1</v>
      </c>
      <c r="D9" t="s">
        <v>7706</v>
      </c>
      <c r="E9" t="s">
        <v>9055</v>
      </c>
      <c r="F9" t="s">
        <v>9056</v>
      </c>
      <c r="G9">
        <v>6</v>
      </c>
      <c r="H9">
        <v>6</v>
      </c>
      <c r="I9">
        <v>6</v>
      </c>
      <c r="J9">
        <v>6</v>
      </c>
      <c r="K9">
        <v>0</v>
      </c>
      <c r="L9" s="2">
        <v>0</v>
      </c>
      <c r="M9" s="2">
        <v>0</v>
      </c>
      <c r="N9" s="2">
        <v>0</v>
      </c>
      <c r="O9" s="2">
        <v>90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90</v>
      </c>
      <c r="V9" t="s">
        <v>55</v>
      </c>
    </row>
    <row r="10" spans="1:22" x14ac:dyDescent="0.25">
      <c r="A10" t="s">
        <v>8323</v>
      </c>
      <c r="B10" t="s">
        <v>9070</v>
      </c>
      <c r="C10" t="s">
        <v>1</v>
      </c>
      <c r="D10" t="s">
        <v>7706</v>
      </c>
      <c r="E10" t="s">
        <v>9055</v>
      </c>
      <c r="F10" t="s">
        <v>9056</v>
      </c>
      <c r="G10">
        <v>5</v>
      </c>
      <c r="H10">
        <v>5</v>
      </c>
      <c r="I10">
        <v>5</v>
      </c>
      <c r="J10">
        <v>5</v>
      </c>
      <c r="K10">
        <v>0</v>
      </c>
      <c r="L10" s="2">
        <v>0</v>
      </c>
      <c r="M10" s="2">
        <v>0</v>
      </c>
      <c r="N10" s="2">
        <v>0</v>
      </c>
      <c r="O10" s="2">
        <v>73.45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73.45</v>
      </c>
      <c r="V10" t="s">
        <v>55</v>
      </c>
    </row>
    <row r="11" spans="1:22" x14ac:dyDescent="0.25">
      <c r="A11" t="s">
        <v>8323</v>
      </c>
      <c r="B11" t="s">
        <v>9070</v>
      </c>
      <c r="C11" t="s">
        <v>1</v>
      </c>
      <c r="D11" t="s">
        <v>7706</v>
      </c>
      <c r="E11" t="s">
        <v>9055</v>
      </c>
      <c r="F11" t="s">
        <v>9056</v>
      </c>
      <c r="G11">
        <v>4</v>
      </c>
      <c r="H11">
        <v>4</v>
      </c>
      <c r="I11">
        <v>4</v>
      </c>
      <c r="J11">
        <v>4</v>
      </c>
      <c r="K11">
        <v>0</v>
      </c>
      <c r="L11" s="2">
        <v>0</v>
      </c>
      <c r="M11" s="2">
        <v>0</v>
      </c>
      <c r="N11" s="2">
        <v>0</v>
      </c>
      <c r="O11" s="2">
        <v>56.5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56.5</v>
      </c>
      <c r="V11" t="s">
        <v>55</v>
      </c>
    </row>
    <row r="12" spans="1:22" x14ac:dyDescent="0.25">
      <c r="A12" t="s">
        <v>8323</v>
      </c>
      <c r="B12" t="s">
        <v>9070</v>
      </c>
      <c r="C12" t="s">
        <v>1</v>
      </c>
      <c r="D12" t="s">
        <v>7706</v>
      </c>
      <c r="E12" t="s">
        <v>9055</v>
      </c>
      <c r="F12" t="s">
        <v>9056</v>
      </c>
      <c r="G12">
        <v>3</v>
      </c>
      <c r="H12">
        <v>3</v>
      </c>
      <c r="I12">
        <v>3</v>
      </c>
      <c r="J12">
        <v>3</v>
      </c>
      <c r="K12">
        <v>0</v>
      </c>
      <c r="L12" s="2">
        <v>0</v>
      </c>
      <c r="M12" s="2">
        <v>0</v>
      </c>
      <c r="N12" s="2">
        <v>0</v>
      </c>
      <c r="O12" s="2">
        <v>100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100</v>
      </c>
      <c r="V12" t="s">
        <v>55</v>
      </c>
    </row>
    <row r="13" spans="1:22" x14ac:dyDescent="0.25">
      <c r="A13" t="s">
        <v>8323</v>
      </c>
      <c r="B13" t="s">
        <v>9070</v>
      </c>
      <c r="C13" t="s">
        <v>1</v>
      </c>
      <c r="D13" t="s">
        <v>7706</v>
      </c>
      <c r="E13" t="s">
        <v>9055</v>
      </c>
      <c r="F13" t="s">
        <v>9056</v>
      </c>
      <c r="G13">
        <v>2</v>
      </c>
      <c r="H13">
        <v>2</v>
      </c>
      <c r="I13">
        <v>2</v>
      </c>
      <c r="J13">
        <v>2</v>
      </c>
      <c r="K13">
        <v>0</v>
      </c>
      <c r="L13" s="2">
        <v>0</v>
      </c>
      <c r="M13" s="2">
        <v>0</v>
      </c>
      <c r="N13" s="2">
        <v>0</v>
      </c>
      <c r="O13" s="2">
        <v>339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339</v>
      </c>
      <c r="V13" t="s">
        <v>55</v>
      </c>
    </row>
    <row r="14" spans="1:22" x14ac:dyDescent="0.25">
      <c r="A14" t="s">
        <v>8322</v>
      </c>
      <c r="B14" t="s">
        <v>9013</v>
      </c>
      <c r="C14" t="s">
        <v>1</v>
      </c>
      <c r="D14" t="s">
        <v>7706</v>
      </c>
      <c r="E14" t="s">
        <v>9055</v>
      </c>
      <c r="F14" t="s">
        <v>9056</v>
      </c>
      <c r="G14">
        <v>1</v>
      </c>
      <c r="H14">
        <v>1</v>
      </c>
      <c r="I14">
        <v>1</v>
      </c>
      <c r="J14">
        <v>1</v>
      </c>
      <c r="K14">
        <v>0</v>
      </c>
      <c r="L14" s="2">
        <v>0</v>
      </c>
      <c r="M14" s="2">
        <v>0</v>
      </c>
      <c r="N14" s="2">
        <v>0</v>
      </c>
      <c r="O14" s="2">
        <v>90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90</v>
      </c>
      <c r="V14" t="s">
        <v>55</v>
      </c>
    </row>
    <row r="15" spans="1:22" ht="15.75" thickBot="1" x14ac:dyDescent="0.3"/>
    <row r="16" spans="1:22" ht="15.75" thickBot="1" x14ac:dyDescent="0.3">
      <c r="A16" s="127" t="s">
        <v>76</v>
      </c>
      <c r="B16" s="128"/>
      <c r="C16" s="128"/>
      <c r="D16" s="128"/>
      <c r="E16" s="128"/>
      <c r="F16" s="128"/>
      <c r="G16" s="128"/>
      <c r="H16" s="128"/>
      <c r="I16" s="128"/>
      <c r="J16" s="128"/>
      <c r="K16" s="129"/>
      <c r="L16" s="4">
        <f>+SUBTOTAL(9,Tabla3[V EXENTA])</f>
        <v>0</v>
      </c>
      <c r="M16" s="4">
        <f>+SUBTOTAL(9,Tabla3[VENTAS NO])</f>
        <v>0</v>
      </c>
      <c r="N16" s="4">
        <f>+SUBTOTAL(9,Tabla3[V NO SUJETAS])</f>
        <v>0</v>
      </c>
      <c r="O16" s="4">
        <f>+SUBTOTAL(9,Tabla3[V GRAVADAS])</f>
        <v>1241.45</v>
      </c>
      <c r="P16" s="4">
        <f>+SUBTOTAL(9,Tabla3[EX IN CA])</f>
        <v>0</v>
      </c>
      <c r="Q16" s="4">
        <f>+SUBTOTAL(9,Tabla3[EX OUT CA])</f>
        <v>0</v>
      </c>
      <c r="R16" s="4">
        <f>+SUBTOTAL(9,Tabla3[EX SERVICE])</f>
        <v>0</v>
      </c>
      <c r="S16" s="4">
        <f>+SUBTOTAL(9,Tabla3[V ZONA FRAN])</f>
        <v>0</v>
      </c>
      <c r="T16" s="4">
        <f>+SUBTOTAL(9,Tabla3[V CTA A 3ERO])</f>
        <v>0</v>
      </c>
      <c r="U16" s="4">
        <f>+SUBTOTAL(9,Tabla3[TOTAL VENTA])</f>
        <v>1241.45</v>
      </c>
    </row>
    <row r="17" spans="15:15" x14ac:dyDescent="0.25">
      <c r="O17" s="2">
        <f>O16/1.13</f>
        <v>1098.6283185840709</v>
      </c>
    </row>
    <row r="18" spans="15:15" x14ac:dyDescent="0.25">
      <c r="O18" s="2">
        <f>O17*0.13</f>
        <v>142.82168141592922</v>
      </c>
    </row>
  </sheetData>
  <mergeCells count="1">
    <mergeCell ref="A16:K1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8481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9016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topLeftCell="A22" workbookViewId="0">
      <selection activeCell="A23" sqref="A2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479"/>
  <sheetViews>
    <sheetView topLeftCell="A4406" workbookViewId="0">
      <selection activeCell="A4430" sqref="A443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22" t="s">
        <v>7728</v>
      </c>
      <c r="B4062" t="s">
        <v>7729</v>
      </c>
    </row>
    <row r="4063" spans="1:2" x14ac:dyDescent="0.25">
      <c r="A4063" s="122" t="s">
        <v>7730</v>
      </c>
      <c r="B4063" t="s">
        <v>7731</v>
      </c>
    </row>
    <row r="4064" spans="1:2" x14ac:dyDescent="0.25">
      <c r="A4064" s="122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22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22" t="s">
        <v>7978</v>
      </c>
      <c r="B4078" t="s">
        <v>7979</v>
      </c>
    </row>
    <row r="4079" spans="1:2" x14ac:dyDescent="0.25">
      <c r="A4079" s="122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22" t="s">
        <v>7986</v>
      </c>
      <c r="B4081" t="s">
        <v>7987</v>
      </c>
    </row>
    <row r="4082" spans="1:2" x14ac:dyDescent="0.25">
      <c r="A4082" s="122" t="s">
        <v>7988</v>
      </c>
      <c r="B4082" t="s">
        <v>7989</v>
      </c>
    </row>
    <row r="4083" spans="1:2" x14ac:dyDescent="0.25">
      <c r="A4083" s="122" t="s">
        <v>7990</v>
      </c>
      <c r="B4083" t="s">
        <v>7991</v>
      </c>
    </row>
    <row r="4084" spans="1:2" x14ac:dyDescent="0.25">
      <c r="A4084" s="122" t="s">
        <v>7992</v>
      </c>
      <c r="B4084" t="s">
        <v>7993</v>
      </c>
    </row>
    <row r="4085" spans="1:2" x14ac:dyDescent="0.25">
      <c r="A4085" s="122" t="s">
        <v>7994</v>
      </c>
      <c r="B4085" t="s">
        <v>7995</v>
      </c>
    </row>
    <row r="4086" spans="1:2" x14ac:dyDescent="0.25">
      <c r="A4086" s="122" t="s">
        <v>7996</v>
      </c>
      <c r="B4086" t="s">
        <v>7997</v>
      </c>
    </row>
    <row r="4087" spans="1:2" x14ac:dyDescent="0.25">
      <c r="A4087" s="122" t="s">
        <v>7998</v>
      </c>
      <c r="B4087" t="s">
        <v>7999</v>
      </c>
    </row>
    <row r="4088" spans="1:2" x14ac:dyDescent="0.25">
      <c r="A4088" s="122" t="s">
        <v>8000</v>
      </c>
      <c r="B4088" t="s">
        <v>8001</v>
      </c>
    </row>
    <row r="4089" spans="1:2" x14ac:dyDescent="0.25">
      <c r="A4089" s="122" t="s">
        <v>8002</v>
      </c>
      <c r="B4089" t="s">
        <v>8003</v>
      </c>
    </row>
    <row r="4090" spans="1:2" x14ac:dyDescent="0.25">
      <c r="A4090" s="122" t="s">
        <v>8004</v>
      </c>
      <c r="B4090" t="s">
        <v>8005</v>
      </c>
    </row>
    <row r="4091" spans="1:2" x14ac:dyDescent="0.25">
      <c r="A4091" s="122" t="s">
        <v>8006</v>
      </c>
      <c r="B4091" t="s">
        <v>8007</v>
      </c>
    </row>
    <row r="4092" spans="1:2" x14ac:dyDescent="0.25">
      <c r="A4092" s="122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22" t="s">
        <v>8016</v>
      </c>
      <c r="B4095" t="s">
        <v>8017</v>
      </c>
    </row>
    <row r="4096" spans="1:2" x14ac:dyDescent="0.25">
      <c r="A4096" s="122" t="s">
        <v>8018</v>
      </c>
      <c r="B4096" t="s">
        <v>8019</v>
      </c>
    </row>
    <row r="4097" spans="1:2" x14ac:dyDescent="0.25">
      <c r="A4097" s="122" t="s">
        <v>8020</v>
      </c>
      <c r="B4097" t="s">
        <v>8021</v>
      </c>
    </row>
    <row r="4098" spans="1:2" x14ac:dyDescent="0.25">
      <c r="A4098" s="122" t="s">
        <v>8022</v>
      </c>
      <c r="B4098" t="s">
        <v>811</v>
      </c>
    </row>
    <row r="4099" spans="1:2" x14ac:dyDescent="0.25">
      <c r="A4099" s="122" t="s">
        <v>8023</v>
      </c>
      <c r="B4099" t="s">
        <v>8024</v>
      </c>
    </row>
    <row r="4100" spans="1:2" x14ac:dyDescent="0.25">
      <c r="A4100" s="122" t="s">
        <v>8025</v>
      </c>
      <c r="B4100" t="s">
        <v>8026</v>
      </c>
    </row>
    <row r="4101" spans="1:2" x14ac:dyDescent="0.25">
      <c r="A4101" s="122" t="s">
        <v>8027</v>
      </c>
      <c r="B4101" t="s">
        <v>8028</v>
      </c>
    </row>
    <row r="4102" spans="1:2" x14ac:dyDescent="0.25">
      <c r="A4102" s="122" t="s">
        <v>8029</v>
      </c>
      <c r="B4102" t="s">
        <v>8030</v>
      </c>
    </row>
    <row r="4103" spans="1:2" x14ac:dyDescent="0.25">
      <c r="A4103" s="122" t="s">
        <v>8031</v>
      </c>
      <c r="B4103" t="s">
        <v>8032</v>
      </c>
    </row>
    <row r="4104" spans="1:2" x14ac:dyDescent="0.25">
      <c r="A4104" s="122" t="s">
        <v>8033</v>
      </c>
      <c r="B4104" t="s">
        <v>8034</v>
      </c>
    </row>
    <row r="4105" spans="1:2" x14ac:dyDescent="0.25">
      <c r="A4105" s="122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3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5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4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9028</v>
      </c>
      <c r="B4412" t="s">
        <v>9027</v>
      </c>
    </row>
    <row r="4413" spans="1:2" x14ac:dyDescent="0.25">
      <c r="A4413" s="1" t="s">
        <v>9030</v>
      </c>
      <c r="B4413" t="s">
        <v>9029</v>
      </c>
    </row>
    <row r="4414" spans="1:2" x14ac:dyDescent="0.25">
      <c r="A4414" s="1" t="s">
        <v>9031</v>
      </c>
      <c r="B4414" t="s">
        <v>9043</v>
      </c>
    </row>
    <row r="4415" spans="1:2" x14ac:dyDescent="0.25">
      <c r="A4415" s="1" t="s">
        <v>9032</v>
      </c>
      <c r="B4415" t="s">
        <v>9044</v>
      </c>
    </row>
    <row r="4416" spans="1:2" x14ac:dyDescent="0.25">
      <c r="A4416" s="1" t="s">
        <v>9033</v>
      </c>
      <c r="B4416" t="s">
        <v>9045</v>
      </c>
    </row>
    <row r="4417" spans="1:2" x14ac:dyDescent="0.25">
      <c r="A4417" s="1" t="s">
        <v>9034</v>
      </c>
      <c r="B4417" t="s">
        <v>9046</v>
      </c>
    </row>
    <row r="4418" spans="1:2" x14ac:dyDescent="0.25">
      <c r="A4418" s="1" t="s">
        <v>9035</v>
      </c>
      <c r="B4418" t="s">
        <v>9047</v>
      </c>
    </row>
    <row r="4419" spans="1:2" x14ac:dyDescent="0.25">
      <c r="A4419" s="1" t="s">
        <v>9036</v>
      </c>
      <c r="B4419" t="s">
        <v>9048</v>
      </c>
    </row>
    <row r="4420" spans="1:2" x14ac:dyDescent="0.25">
      <c r="A4420" s="1" t="s">
        <v>9037</v>
      </c>
      <c r="B4420" t="s">
        <v>9049</v>
      </c>
    </row>
    <row r="4421" spans="1:2" x14ac:dyDescent="0.25">
      <c r="A4421" s="1" t="s">
        <v>9038</v>
      </c>
      <c r="B4421" t="s">
        <v>9050</v>
      </c>
    </row>
    <row r="4422" spans="1:2" x14ac:dyDescent="0.25">
      <c r="A4422" s="1" t="s">
        <v>9039</v>
      </c>
      <c r="B4422" t="s">
        <v>9051</v>
      </c>
    </row>
    <row r="4423" spans="1:2" x14ac:dyDescent="0.25">
      <c r="A4423" s="1" t="s">
        <v>9040</v>
      </c>
      <c r="B4423" t="s">
        <v>9052</v>
      </c>
    </row>
    <row r="4424" spans="1:2" x14ac:dyDescent="0.25">
      <c r="A4424" s="1" t="s">
        <v>9041</v>
      </c>
      <c r="B4424" t="s">
        <v>9053</v>
      </c>
    </row>
    <row r="4425" spans="1:2" x14ac:dyDescent="0.25">
      <c r="A4425" s="1" t="s">
        <v>9042</v>
      </c>
      <c r="B4425" t="s">
        <v>9054</v>
      </c>
    </row>
    <row r="4426" spans="1:2" x14ac:dyDescent="0.25">
      <c r="A4426" s="1" t="s">
        <v>9058</v>
      </c>
      <c r="B4426" t="s">
        <v>9059</v>
      </c>
    </row>
    <row r="4427" spans="1:2" x14ac:dyDescent="0.25">
      <c r="A4427" s="1" t="s">
        <v>9060</v>
      </c>
      <c r="B4427" t="s">
        <v>9061</v>
      </c>
    </row>
    <row r="4428" spans="1:2" x14ac:dyDescent="0.25">
      <c r="A4428" s="1" t="s">
        <v>9064</v>
      </c>
      <c r="B4428" t="s">
        <v>9065</v>
      </c>
    </row>
    <row r="4429" spans="1:2" x14ac:dyDescent="0.25">
      <c r="A4429" s="1" t="s">
        <v>9067</v>
      </c>
      <c r="B4429" t="s">
        <v>9068</v>
      </c>
    </row>
    <row r="4430" spans="1:2" x14ac:dyDescent="0.25">
      <c r="A4430" s="22"/>
    </row>
    <row r="4474" spans="3:5" x14ac:dyDescent="0.25">
      <c r="E4474">
        <v>288.04000000000002</v>
      </c>
    </row>
    <row r="4475" spans="3:5" x14ac:dyDescent="0.25">
      <c r="C4475">
        <v>1936.16</v>
      </c>
      <c r="E4475">
        <v>703.16</v>
      </c>
    </row>
    <row r="4476" spans="3:5" x14ac:dyDescent="0.25">
      <c r="C4476">
        <v>1946.16</v>
      </c>
      <c r="E4476">
        <v>191.61</v>
      </c>
    </row>
    <row r="4477" spans="3:5" x14ac:dyDescent="0.25">
      <c r="C4477">
        <f>SUM(C4475:C4476)</f>
        <v>3882.32</v>
      </c>
      <c r="E4477">
        <v>370.13</v>
      </c>
    </row>
    <row r="4478" spans="3:5" x14ac:dyDescent="0.25">
      <c r="E4478">
        <v>393.22</v>
      </c>
    </row>
    <row r="4479" spans="3:5" x14ac:dyDescent="0.25">
      <c r="E4479">
        <f>SUM(E4474:E4478)</f>
        <v>1946.16</v>
      </c>
    </row>
  </sheetData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I4" sqref="I4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2"/>
      <c r="C1" s="133"/>
      <c r="D1" s="130" t="s">
        <v>8954</v>
      </c>
      <c r="E1" s="131"/>
      <c r="F1" s="131"/>
      <c r="I1" s="88"/>
    </row>
    <row r="3" spans="1:10 16383:16383" ht="21.75" customHeight="1" x14ac:dyDescent="0.25">
      <c r="D3" s="84" t="s">
        <v>8573</v>
      </c>
      <c r="E3" s="85" t="s">
        <v>8324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GRAVADAS]],Tabla3[[#All],[MES]],Tabla7[[#Headers],[JULIO]])/(1.13),2)</f>
        <v>515.49</v>
      </c>
      <c r="F4" s="93"/>
      <c r="G4" s="110"/>
      <c r="H4" s="91" t="s">
        <v>8759</v>
      </c>
      <c r="I4" s="115">
        <f>ROUND(F7*0.13-F11*0.13-E13-E14,2)</f>
        <v>153.54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GRAVADA]],Tabla2[[#All],[MES]],Tabla7[[#Headers],[JULIO]],Tabla2[[#All],[TIPO DE DOC]],3),2)</f>
        <v>1433.63</v>
      </c>
      <c r="F5" s="93"/>
      <c r="G5" s="76"/>
      <c r="H5" s="91" t="s">
        <v>8761</v>
      </c>
      <c r="I5" s="101">
        <f>ROUND(F7*0.0175,2)+E15</f>
        <v>34.11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GRAVADA]],Tabla2[[#All],[MES]],Tabla7[[#Headers],[JULIO]],Tabla2[[#All],[TIPO DE DOC]],5),2)</f>
        <v>0</v>
      </c>
      <c r="F6" s="93"/>
      <c r="G6" s="110"/>
      <c r="H6" s="108" t="s">
        <v>8763</v>
      </c>
      <c r="I6" s="102">
        <f>SUM(I4:I5)</f>
        <v>187.64999999999998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1949.1200000000001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GRAVADA]],Tabla1[[#All],[MES]],Tabla7[[#Headers],[JULIO]],Tabla1[[#All],[TIPO DE DOC]],"03")</f>
        <v>768.0200000000001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BIENES]],Tabla1[[#All],[MES]],Tabla7[[#Headers],[JULIO]],Tabla1[[#All],[TIPO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GRAVADA]],Tabla1[[#All],[MES]],Tabla7[[#Headers],[JULIO]],Tabla1[[#All],[TIPO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768.0200000000001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EXENTAS]],Tabla1[[#All],[MES]],Tabla7[[#Headers],[JULIO]],Tabla1[[#All],[TIPO DE DOC]],"03")</f>
        <v>67.240000000000009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SUMIFS(Tabla1[[#All],[PERCEPCIONES]],Tabla1[[#All],[MES]],Tabla7[[#Headers],[JULIO]],Tabla1[[#All],[TIPO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1%]],Tabla6[[#Headers],[#Data],[Mes]],Tabla7[[#Headers],[JULIO]])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pablo</cp:lastModifiedBy>
  <cp:lastPrinted>2022-12-13T14:09:17Z</cp:lastPrinted>
  <dcterms:created xsi:type="dcterms:W3CDTF">2021-04-05T22:54:25Z</dcterms:created>
  <dcterms:modified xsi:type="dcterms:W3CDTF">2023-08-09T20:08:46Z</dcterms:modified>
</cp:coreProperties>
</file>