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05" yWindow="-105" windowWidth="20640" windowHeight="11760"/>
  </bookViews>
  <sheets>
    <sheet name="COMPRAS 2021" sheetId="1" r:id="rId1"/>
    <sheet name="CONSUMIDOR 2021" sheetId="4" r:id="rId2"/>
    <sheet name="VENTAS CONTRIBUYENTE 2021" sheetId="2" r:id="rId3"/>
    <sheet name="base de clientes" sheetId="3" r:id="rId4"/>
    <sheet name="RET 1%" sheetId="7" r:id="rId5"/>
    <sheet name="RET 10%" sheetId="8" r:id="rId6"/>
    <sheet name="DECLARACION" sheetId="5" r:id="rId7"/>
  </sheets>
  <externalReferences>
    <externalReference r:id="rId8"/>
  </externalReferences>
  <definedNames>
    <definedName name="_xlnm._FilterDatabase" localSheetId="0" hidden="1">'COMPRAS 2021'!$A$1:$X$677</definedName>
    <definedName name="_xlnm._FilterDatabase" localSheetId="1" hidden="1">'CONSUMIDOR 2021'!$A$1:$V$29</definedName>
    <definedName name="_xlnm._FilterDatabase" localSheetId="4" hidden="1">'RET 1%'!$A$1:$I$40</definedName>
    <definedName name="_xlnm._FilterDatabase" localSheetId="5" hidden="1">'RET 10%'!$A$1:$S$19</definedName>
    <definedName name="_xlnm._FilterDatabase" localSheetId="2" hidden="1">'VENTAS CONTRIBUYENTE 2021'!$A$1:$W$189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5" l="1"/>
  <c r="R1000" i="4" l="1"/>
  <c r="J4" i="5" s="1"/>
  <c r="T556" i="1" l="1"/>
  <c r="U556" i="1" s="1"/>
  <c r="L556" i="1"/>
  <c r="D556" i="1"/>
  <c r="C556" i="1"/>
  <c r="G556" i="1" l="1"/>
  <c r="U29" i="4"/>
  <c r="U28" i="4"/>
  <c r="U27" i="4"/>
  <c r="U26" i="4"/>
  <c r="U25" i="4"/>
  <c r="U24" i="4"/>
  <c r="D189" i="2"/>
  <c r="C189" i="2"/>
  <c r="D188" i="2"/>
  <c r="C188" i="2"/>
  <c r="G188" i="2" s="1"/>
  <c r="D187" i="2"/>
  <c r="C187" i="2"/>
  <c r="D186" i="2"/>
  <c r="C186" i="2"/>
  <c r="G186" i="2" s="1"/>
  <c r="D185" i="2"/>
  <c r="C185" i="2"/>
  <c r="D184" i="2"/>
  <c r="C184" i="2"/>
  <c r="D183" i="2"/>
  <c r="C183" i="2"/>
  <c r="D182" i="2"/>
  <c r="C182" i="2"/>
  <c r="G182" i="2" s="1"/>
  <c r="D181" i="2"/>
  <c r="C181" i="2"/>
  <c r="D180" i="2"/>
  <c r="C180" i="2"/>
  <c r="D179" i="2"/>
  <c r="C179" i="2"/>
  <c r="D178" i="2"/>
  <c r="C178" i="2"/>
  <c r="G178" i="2" s="1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G170" i="2" s="1"/>
  <c r="D169" i="2"/>
  <c r="C169" i="2"/>
  <c r="D168" i="2"/>
  <c r="C168" i="2"/>
  <c r="G168" i="2" s="1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G156" i="2" s="1"/>
  <c r="D155" i="2"/>
  <c r="C155" i="2"/>
  <c r="D154" i="2"/>
  <c r="C154" i="2"/>
  <c r="S189" i="2"/>
  <c r="V189" i="2" s="1"/>
  <c r="S188" i="2"/>
  <c r="V188" i="2" s="1"/>
  <c r="S187" i="2"/>
  <c r="V187" i="2" s="1"/>
  <c r="S186" i="2"/>
  <c r="V186" i="2" s="1"/>
  <c r="S185" i="2"/>
  <c r="V185" i="2" s="1"/>
  <c r="S184" i="2"/>
  <c r="V184" i="2" s="1"/>
  <c r="S183" i="2"/>
  <c r="V183" i="2" s="1"/>
  <c r="S182" i="2"/>
  <c r="V182" i="2" s="1"/>
  <c r="S181" i="2"/>
  <c r="V181" i="2" s="1"/>
  <c r="S180" i="2"/>
  <c r="V180" i="2" s="1"/>
  <c r="S179" i="2"/>
  <c r="V179" i="2" s="1"/>
  <c r="S178" i="2"/>
  <c r="V178" i="2" s="1"/>
  <c r="S177" i="2"/>
  <c r="V177" i="2" s="1"/>
  <c r="S176" i="2"/>
  <c r="V176" i="2" s="1"/>
  <c r="S175" i="2"/>
  <c r="V175" i="2" s="1"/>
  <c r="S174" i="2"/>
  <c r="V174" i="2" s="1"/>
  <c r="S173" i="2"/>
  <c r="V173" i="2" s="1"/>
  <c r="S172" i="2"/>
  <c r="V172" i="2" s="1"/>
  <c r="S171" i="2"/>
  <c r="V171" i="2" s="1"/>
  <c r="S170" i="2"/>
  <c r="V170" i="2" s="1"/>
  <c r="S169" i="2"/>
  <c r="V169" i="2" s="1"/>
  <c r="S168" i="2"/>
  <c r="V168" i="2" s="1"/>
  <c r="S167" i="2"/>
  <c r="V167" i="2" s="1"/>
  <c r="S166" i="2"/>
  <c r="V166" i="2" s="1"/>
  <c r="S165" i="2"/>
  <c r="V165" i="2" s="1"/>
  <c r="S164" i="2"/>
  <c r="V164" i="2" s="1"/>
  <c r="S163" i="2"/>
  <c r="V163" i="2" s="1"/>
  <c r="S162" i="2"/>
  <c r="V162" i="2" s="1"/>
  <c r="S161" i="2"/>
  <c r="V161" i="2" s="1"/>
  <c r="S160" i="2"/>
  <c r="V160" i="2" s="1"/>
  <c r="S159" i="2"/>
  <c r="V159" i="2" s="1"/>
  <c r="S158" i="2"/>
  <c r="V158" i="2" s="1"/>
  <c r="S157" i="2"/>
  <c r="V157" i="2" s="1"/>
  <c r="S156" i="2"/>
  <c r="V156" i="2" s="1"/>
  <c r="S155" i="2"/>
  <c r="V155" i="2" s="1"/>
  <c r="S154" i="2"/>
  <c r="V154" i="2" s="1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M547" i="1"/>
  <c r="M640" i="1"/>
  <c r="M655" i="1"/>
  <c r="M646" i="1"/>
  <c r="M652" i="1"/>
  <c r="M624" i="1"/>
  <c r="M607" i="1"/>
  <c r="T555" i="1"/>
  <c r="U555" i="1" s="1"/>
  <c r="L555" i="1"/>
  <c r="D555" i="1"/>
  <c r="C555" i="1"/>
  <c r="T651" i="1"/>
  <c r="U651" i="1" s="1"/>
  <c r="L651" i="1"/>
  <c r="D651" i="1"/>
  <c r="C651" i="1"/>
  <c r="T674" i="1"/>
  <c r="U674" i="1" s="1"/>
  <c r="L674" i="1"/>
  <c r="D674" i="1"/>
  <c r="C674" i="1"/>
  <c r="T645" i="1"/>
  <c r="U645" i="1" s="1"/>
  <c r="L645" i="1"/>
  <c r="D645" i="1"/>
  <c r="C645" i="1"/>
  <c r="T632" i="1"/>
  <c r="U632" i="1" s="1"/>
  <c r="L632" i="1"/>
  <c r="D632" i="1"/>
  <c r="C632" i="1"/>
  <c r="T606" i="1"/>
  <c r="U606" i="1" s="1"/>
  <c r="L606" i="1"/>
  <c r="D606" i="1"/>
  <c r="C606" i="1"/>
  <c r="T599" i="1"/>
  <c r="U599" i="1" s="1"/>
  <c r="L599" i="1"/>
  <c r="D599" i="1"/>
  <c r="C599" i="1"/>
  <c r="T572" i="1"/>
  <c r="U572" i="1" s="1"/>
  <c r="L572" i="1"/>
  <c r="D572" i="1"/>
  <c r="C572" i="1"/>
  <c r="T561" i="1"/>
  <c r="U561" i="1" s="1"/>
  <c r="L561" i="1"/>
  <c r="D561" i="1"/>
  <c r="C561" i="1"/>
  <c r="T546" i="1"/>
  <c r="U546" i="1" s="1"/>
  <c r="L546" i="1"/>
  <c r="D546" i="1"/>
  <c r="C546" i="1"/>
  <c r="T534" i="1"/>
  <c r="U534" i="1" s="1"/>
  <c r="L534" i="1"/>
  <c r="D534" i="1"/>
  <c r="C534" i="1"/>
  <c r="T644" i="1"/>
  <c r="U644" i="1" s="1"/>
  <c r="L644" i="1"/>
  <c r="D644" i="1"/>
  <c r="C644" i="1"/>
  <c r="T605" i="1"/>
  <c r="U605" i="1" s="1"/>
  <c r="L605" i="1"/>
  <c r="D605" i="1"/>
  <c r="C605" i="1"/>
  <c r="T571" i="1"/>
  <c r="U571" i="1" s="1"/>
  <c r="L571" i="1"/>
  <c r="D571" i="1"/>
  <c r="C571" i="1"/>
  <c r="T545" i="1"/>
  <c r="U545" i="1" s="1"/>
  <c r="L545" i="1"/>
  <c r="D545" i="1"/>
  <c r="C545" i="1"/>
  <c r="T673" i="1"/>
  <c r="U673" i="1" s="1"/>
  <c r="L673" i="1"/>
  <c r="D673" i="1"/>
  <c r="C673" i="1"/>
  <c r="T654" i="1"/>
  <c r="U654" i="1" s="1"/>
  <c r="L654" i="1"/>
  <c r="D654" i="1"/>
  <c r="C654" i="1"/>
  <c r="T638" i="1"/>
  <c r="U638" i="1" s="1"/>
  <c r="L638" i="1"/>
  <c r="D638" i="1"/>
  <c r="C638" i="1"/>
  <c r="T631" i="1"/>
  <c r="U631" i="1" s="1"/>
  <c r="L631" i="1"/>
  <c r="D631" i="1"/>
  <c r="C631" i="1"/>
  <c r="T618" i="1"/>
  <c r="U618" i="1" s="1"/>
  <c r="L618" i="1"/>
  <c r="D618" i="1"/>
  <c r="C618" i="1"/>
  <c r="T598" i="1"/>
  <c r="U598" i="1" s="1"/>
  <c r="L598" i="1"/>
  <c r="D598" i="1"/>
  <c r="C598" i="1"/>
  <c r="T594" i="1"/>
  <c r="U594" i="1" s="1"/>
  <c r="L594" i="1"/>
  <c r="D594" i="1"/>
  <c r="C594" i="1"/>
  <c r="T585" i="1"/>
  <c r="U585" i="1" s="1"/>
  <c r="L585" i="1"/>
  <c r="D585" i="1"/>
  <c r="C585" i="1"/>
  <c r="T566" i="1"/>
  <c r="U566" i="1" s="1"/>
  <c r="L566" i="1"/>
  <c r="D566" i="1"/>
  <c r="C566" i="1"/>
  <c r="T554" i="1"/>
  <c r="U554" i="1" s="1"/>
  <c r="L554" i="1"/>
  <c r="D554" i="1"/>
  <c r="C554" i="1"/>
  <c r="T553" i="1"/>
  <c r="U553" i="1" s="1"/>
  <c r="L553" i="1"/>
  <c r="D553" i="1"/>
  <c r="C553" i="1"/>
  <c r="T533" i="1"/>
  <c r="U533" i="1" s="1"/>
  <c r="L533" i="1"/>
  <c r="D533" i="1"/>
  <c r="C533" i="1"/>
  <c r="T522" i="1"/>
  <c r="U522" i="1" s="1"/>
  <c r="L522" i="1"/>
  <c r="D522" i="1"/>
  <c r="C522" i="1"/>
  <c r="T672" i="1"/>
  <c r="U672" i="1" s="1"/>
  <c r="L672" i="1"/>
  <c r="D672" i="1"/>
  <c r="C672" i="1"/>
  <c r="T650" i="1"/>
  <c r="U650" i="1" s="1"/>
  <c r="L650" i="1"/>
  <c r="D650" i="1"/>
  <c r="C650" i="1"/>
  <c r="T630" i="1"/>
  <c r="U630" i="1" s="1"/>
  <c r="L630" i="1"/>
  <c r="D630" i="1"/>
  <c r="C630" i="1"/>
  <c r="T612" i="1"/>
  <c r="U612" i="1" s="1"/>
  <c r="L612" i="1"/>
  <c r="D612" i="1"/>
  <c r="C612" i="1"/>
  <c r="T593" i="1"/>
  <c r="U593" i="1" s="1"/>
  <c r="L593" i="1"/>
  <c r="D593" i="1"/>
  <c r="C593" i="1"/>
  <c r="T575" i="1"/>
  <c r="U575" i="1" s="1"/>
  <c r="L575" i="1"/>
  <c r="D575" i="1"/>
  <c r="C575" i="1"/>
  <c r="T560" i="1"/>
  <c r="U560" i="1" s="1"/>
  <c r="L560" i="1"/>
  <c r="D560" i="1"/>
  <c r="C560" i="1"/>
  <c r="T544" i="1"/>
  <c r="U544" i="1" s="1"/>
  <c r="L544" i="1"/>
  <c r="D544" i="1"/>
  <c r="C544" i="1"/>
  <c r="T529" i="1"/>
  <c r="U529" i="1" s="1"/>
  <c r="L529" i="1"/>
  <c r="D529" i="1"/>
  <c r="C529" i="1"/>
  <c r="T584" i="1"/>
  <c r="U584" i="1" s="1"/>
  <c r="L584" i="1"/>
  <c r="D584" i="1"/>
  <c r="C584" i="1"/>
  <c r="T583" i="1"/>
  <c r="U583" i="1" s="1"/>
  <c r="L583" i="1"/>
  <c r="D583" i="1"/>
  <c r="C583" i="1"/>
  <c r="T592" i="1"/>
  <c r="U592" i="1" s="1"/>
  <c r="L592" i="1"/>
  <c r="D592" i="1"/>
  <c r="C592" i="1"/>
  <c r="T528" i="1"/>
  <c r="U528" i="1" s="1"/>
  <c r="L528" i="1"/>
  <c r="D528" i="1"/>
  <c r="C528" i="1"/>
  <c r="T653" i="1"/>
  <c r="U653" i="1" s="1"/>
  <c r="L653" i="1"/>
  <c r="D653" i="1"/>
  <c r="C653" i="1"/>
  <c r="T634" i="1"/>
  <c r="U634" i="1" s="1"/>
  <c r="L634" i="1"/>
  <c r="D634" i="1"/>
  <c r="C634" i="1"/>
  <c r="T590" i="1"/>
  <c r="U590" i="1" s="1"/>
  <c r="L590" i="1"/>
  <c r="D590" i="1"/>
  <c r="C590" i="1"/>
  <c r="T620" i="1"/>
  <c r="U620" i="1" s="1"/>
  <c r="L620" i="1"/>
  <c r="D620" i="1"/>
  <c r="C620" i="1"/>
  <c r="T657" i="1"/>
  <c r="U657" i="1" s="1"/>
  <c r="L657" i="1"/>
  <c r="D657" i="1"/>
  <c r="C657" i="1"/>
  <c r="T611" i="1"/>
  <c r="U611" i="1" s="1"/>
  <c r="L611" i="1"/>
  <c r="D611" i="1"/>
  <c r="C611" i="1"/>
  <c r="T668" i="1"/>
  <c r="U668" i="1" s="1"/>
  <c r="L668" i="1"/>
  <c r="D668" i="1"/>
  <c r="C668" i="1"/>
  <c r="T539" i="1"/>
  <c r="U539" i="1" s="1"/>
  <c r="L539" i="1"/>
  <c r="D539" i="1"/>
  <c r="C539" i="1"/>
  <c r="M531" i="1"/>
  <c r="M538" i="1"/>
  <c r="M552" i="1"/>
  <c r="M565" i="1"/>
  <c r="M569" i="1"/>
  <c r="M580" i="1"/>
  <c r="M579" i="1"/>
  <c r="M588" i="1"/>
  <c r="M604" i="1"/>
  <c r="M617" i="1"/>
  <c r="M629" i="1"/>
  <c r="M628" i="1"/>
  <c r="M635" i="1"/>
  <c r="M649" i="1"/>
  <c r="M675" i="1"/>
  <c r="M669" i="1"/>
  <c r="M659" i="1"/>
  <c r="M658" i="1"/>
  <c r="M642" i="1"/>
  <c r="M641" i="1"/>
  <c r="M622" i="1"/>
  <c r="M621" i="1"/>
  <c r="M615" i="1"/>
  <c r="M609" i="1"/>
  <c r="M603" i="1"/>
  <c r="M602" i="1"/>
  <c r="M587" i="1"/>
  <c r="M578" i="1"/>
  <c r="M577" i="1"/>
  <c r="M573" i="1"/>
  <c r="M568" i="1"/>
  <c r="M567" i="1"/>
  <c r="M563" i="1"/>
  <c r="M557" i="1"/>
  <c r="M551" i="1"/>
  <c r="M550" i="1"/>
  <c r="M543" i="1"/>
  <c r="M542" i="1"/>
  <c r="M537" i="1"/>
  <c r="M535" i="1"/>
  <c r="M523" i="1"/>
  <c r="M518" i="1"/>
  <c r="L677" i="1"/>
  <c r="L662" i="1"/>
  <c r="L614" i="1"/>
  <c r="L667" i="1"/>
  <c r="L656" i="1"/>
  <c r="L582" i="1"/>
  <c r="L637" i="1"/>
  <c r="L676" i="1"/>
  <c r="L574" i="1"/>
  <c r="L521" i="1"/>
  <c r="L548" i="1"/>
  <c r="L570" i="1"/>
  <c r="L559" i="1"/>
  <c r="L623" i="1"/>
  <c r="L547" i="1"/>
  <c r="L532" i="1"/>
  <c r="L627" i="1"/>
  <c r="L633" i="1"/>
  <c r="L562" i="1"/>
  <c r="L541" i="1"/>
  <c r="L608" i="1"/>
  <c r="L601" i="1"/>
  <c r="L576" i="1"/>
  <c r="L613" i="1"/>
  <c r="L595" i="1"/>
  <c r="L626" i="1"/>
  <c r="L640" i="1"/>
  <c r="L655" i="1"/>
  <c r="L646" i="1"/>
  <c r="L652" i="1"/>
  <c r="L624" i="1"/>
  <c r="L607" i="1"/>
  <c r="L527" i="1"/>
  <c r="L526" i="1"/>
  <c r="L589" i="1"/>
  <c r="L530" i="1"/>
  <c r="L666" i="1"/>
  <c r="L636" i="1"/>
  <c r="L581" i="1"/>
  <c r="L661" i="1"/>
  <c r="L549" i="1"/>
  <c r="L520" i="1"/>
  <c r="L665" i="1"/>
  <c r="L639" i="1"/>
  <c r="L586" i="1"/>
  <c r="L536" i="1"/>
  <c r="L540" i="1"/>
  <c r="L597" i="1"/>
  <c r="L558" i="1"/>
  <c r="L600" i="1"/>
  <c r="L625" i="1"/>
  <c r="L664" i="1"/>
  <c r="L525" i="1"/>
  <c r="L619" i="1"/>
  <c r="L663" i="1"/>
  <c r="L519" i="1"/>
  <c r="L524" i="1"/>
  <c r="L531" i="1"/>
  <c r="L538" i="1"/>
  <c r="L552" i="1"/>
  <c r="L565" i="1"/>
  <c r="L564" i="1"/>
  <c r="L569" i="1"/>
  <c r="L580" i="1"/>
  <c r="L579" i="1"/>
  <c r="L588" i="1"/>
  <c r="L591" i="1"/>
  <c r="L596" i="1"/>
  <c r="L604" i="1"/>
  <c r="L617" i="1"/>
  <c r="L629" i="1"/>
  <c r="L628" i="1"/>
  <c r="L635" i="1"/>
  <c r="L649" i="1"/>
  <c r="L648" i="1"/>
  <c r="L660" i="1"/>
  <c r="L671" i="1"/>
  <c r="L675" i="1"/>
  <c r="L670" i="1"/>
  <c r="L669" i="1"/>
  <c r="L659" i="1"/>
  <c r="L658" i="1"/>
  <c r="L647" i="1"/>
  <c r="L643" i="1"/>
  <c r="L642" i="1"/>
  <c r="L641" i="1"/>
  <c r="L622" i="1"/>
  <c r="L621" i="1"/>
  <c r="L616" i="1"/>
  <c r="L615" i="1"/>
  <c r="L610" i="1"/>
  <c r="L609" i="1"/>
  <c r="L603" i="1"/>
  <c r="L602" i="1"/>
  <c r="L587" i="1"/>
  <c r="L578" i="1"/>
  <c r="L577" i="1"/>
  <c r="L573" i="1"/>
  <c r="L568" i="1"/>
  <c r="L567" i="1"/>
  <c r="L563" i="1"/>
  <c r="L557" i="1"/>
  <c r="L551" i="1"/>
  <c r="L550" i="1"/>
  <c r="L543" i="1"/>
  <c r="L542" i="1"/>
  <c r="L537" i="1"/>
  <c r="L535" i="1"/>
  <c r="L523" i="1"/>
  <c r="L518" i="1"/>
  <c r="T677" i="1"/>
  <c r="U677" i="1" s="1"/>
  <c r="T662" i="1"/>
  <c r="U662" i="1" s="1"/>
  <c r="T614" i="1"/>
  <c r="U614" i="1" s="1"/>
  <c r="T667" i="1"/>
  <c r="U667" i="1" s="1"/>
  <c r="T656" i="1"/>
  <c r="U656" i="1" s="1"/>
  <c r="T582" i="1"/>
  <c r="U582" i="1" s="1"/>
  <c r="T637" i="1"/>
  <c r="U637" i="1" s="1"/>
  <c r="T676" i="1"/>
  <c r="U676" i="1" s="1"/>
  <c r="T574" i="1"/>
  <c r="U574" i="1" s="1"/>
  <c r="T521" i="1"/>
  <c r="U521" i="1" s="1"/>
  <c r="T548" i="1"/>
  <c r="U548" i="1" s="1"/>
  <c r="T570" i="1"/>
  <c r="U570" i="1" s="1"/>
  <c r="T559" i="1"/>
  <c r="U559" i="1" s="1"/>
  <c r="T623" i="1"/>
  <c r="U623" i="1" s="1"/>
  <c r="T547" i="1"/>
  <c r="U547" i="1" s="1"/>
  <c r="T532" i="1"/>
  <c r="U532" i="1" s="1"/>
  <c r="T627" i="1"/>
  <c r="U627" i="1" s="1"/>
  <c r="T633" i="1"/>
  <c r="U633" i="1" s="1"/>
  <c r="T562" i="1"/>
  <c r="U562" i="1" s="1"/>
  <c r="T541" i="1"/>
  <c r="U541" i="1" s="1"/>
  <c r="T608" i="1"/>
  <c r="U608" i="1" s="1"/>
  <c r="T601" i="1"/>
  <c r="U601" i="1" s="1"/>
  <c r="T576" i="1"/>
  <c r="U576" i="1" s="1"/>
  <c r="T613" i="1"/>
  <c r="U613" i="1" s="1"/>
  <c r="T595" i="1"/>
  <c r="U595" i="1" s="1"/>
  <c r="T626" i="1"/>
  <c r="U626" i="1" s="1"/>
  <c r="T640" i="1"/>
  <c r="U640" i="1" s="1"/>
  <c r="T655" i="1"/>
  <c r="U655" i="1" s="1"/>
  <c r="T646" i="1"/>
  <c r="U646" i="1" s="1"/>
  <c r="T652" i="1"/>
  <c r="U652" i="1" s="1"/>
  <c r="T624" i="1"/>
  <c r="U624" i="1" s="1"/>
  <c r="T607" i="1"/>
  <c r="U607" i="1" s="1"/>
  <c r="T527" i="1"/>
  <c r="U527" i="1" s="1"/>
  <c r="T526" i="1"/>
  <c r="U526" i="1" s="1"/>
  <c r="T589" i="1"/>
  <c r="U589" i="1" s="1"/>
  <c r="T530" i="1"/>
  <c r="U530" i="1" s="1"/>
  <c r="T666" i="1"/>
  <c r="U666" i="1" s="1"/>
  <c r="T636" i="1"/>
  <c r="U636" i="1" s="1"/>
  <c r="T581" i="1"/>
  <c r="U581" i="1" s="1"/>
  <c r="T661" i="1"/>
  <c r="U661" i="1" s="1"/>
  <c r="T549" i="1"/>
  <c r="U549" i="1" s="1"/>
  <c r="T520" i="1"/>
  <c r="U520" i="1" s="1"/>
  <c r="T665" i="1"/>
  <c r="U665" i="1" s="1"/>
  <c r="T639" i="1"/>
  <c r="U639" i="1" s="1"/>
  <c r="T586" i="1"/>
  <c r="U586" i="1" s="1"/>
  <c r="T536" i="1"/>
  <c r="U536" i="1" s="1"/>
  <c r="T540" i="1"/>
  <c r="U540" i="1" s="1"/>
  <c r="T597" i="1"/>
  <c r="U597" i="1" s="1"/>
  <c r="T558" i="1"/>
  <c r="U558" i="1" s="1"/>
  <c r="T600" i="1"/>
  <c r="U600" i="1" s="1"/>
  <c r="T625" i="1"/>
  <c r="U625" i="1" s="1"/>
  <c r="T664" i="1"/>
  <c r="U664" i="1" s="1"/>
  <c r="T525" i="1"/>
  <c r="U525" i="1" s="1"/>
  <c r="T619" i="1"/>
  <c r="U619" i="1" s="1"/>
  <c r="T663" i="1"/>
  <c r="U663" i="1" s="1"/>
  <c r="T519" i="1"/>
  <c r="U519" i="1" s="1"/>
  <c r="T524" i="1"/>
  <c r="U524" i="1" s="1"/>
  <c r="T531" i="1"/>
  <c r="U531" i="1" s="1"/>
  <c r="T538" i="1"/>
  <c r="U538" i="1" s="1"/>
  <c r="T552" i="1"/>
  <c r="U552" i="1" s="1"/>
  <c r="T565" i="1"/>
  <c r="U565" i="1" s="1"/>
  <c r="T564" i="1"/>
  <c r="U564" i="1" s="1"/>
  <c r="T569" i="1"/>
  <c r="U569" i="1" s="1"/>
  <c r="T580" i="1"/>
  <c r="U580" i="1" s="1"/>
  <c r="T579" i="1"/>
  <c r="U579" i="1" s="1"/>
  <c r="T588" i="1"/>
  <c r="U588" i="1" s="1"/>
  <c r="T591" i="1"/>
  <c r="U591" i="1" s="1"/>
  <c r="T596" i="1"/>
  <c r="U596" i="1" s="1"/>
  <c r="T604" i="1"/>
  <c r="U604" i="1" s="1"/>
  <c r="T617" i="1"/>
  <c r="U617" i="1" s="1"/>
  <c r="T629" i="1"/>
  <c r="U629" i="1" s="1"/>
  <c r="T628" i="1"/>
  <c r="U628" i="1" s="1"/>
  <c r="T635" i="1"/>
  <c r="U635" i="1" s="1"/>
  <c r="T649" i="1"/>
  <c r="U649" i="1" s="1"/>
  <c r="T648" i="1"/>
  <c r="U648" i="1" s="1"/>
  <c r="T660" i="1"/>
  <c r="U660" i="1" s="1"/>
  <c r="T671" i="1"/>
  <c r="U671" i="1" s="1"/>
  <c r="T675" i="1"/>
  <c r="U675" i="1" s="1"/>
  <c r="T670" i="1"/>
  <c r="U670" i="1" s="1"/>
  <c r="T669" i="1"/>
  <c r="U669" i="1" s="1"/>
  <c r="T659" i="1"/>
  <c r="U659" i="1" s="1"/>
  <c r="T658" i="1"/>
  <c r="U658" i="1" s="1"/>
  <c r="T647" i="1"/>
  <c r="U647" i="1" s="1"/>
  <c r="T643" i="1"/>
  <c r="U643" i="1" s="1"/>
  <c r="T642" i="1"/>
  <c r="U642" i="1" s="1"/>
  <c r="T641" i="1"/>
  <c r="U641" i="1" s="1"/>
  <c r="T622" i="1"/>
  <c r="U622" i="1" s="1"/>
  <c r="T621" i="1"/>
  <c r="U621" i="1" s="1"/>
  <c r="T616" i="1"/>
  <c r="U616" i="1" s="1"/>
  <c r="T615" i="1"/>
  <c r="U615" i="1" s="1"/>
  <c r="T610" i="1"/>
  <c r="U610" i="1" s="1"/>
  <c r="T609" i="1"/>
  <c r="U609" i="1" s="1"/>
  <c r="T603" i="1"/>
  <c r="U603" i="1" s="1"/>
  <c r="T602" i="1"/>
  <c r="U602" i="1" s="1"/>
  <c r="T587" i="1"/>
  <c r="U587" i="1" s="1"/>
  <c r="T578" i="1"/>
  <c r="U578" i="1" s="1"/>
  <c r="T577" i="1"/>
  <c r="U577" i="1" s="1"/>
  <c r="T573" i="1"/>
  <c r="U573" i="1" s="1"/>
  <c r="T568" i="1"/>
  <c r="U568" i="1" s="1"/>
  <c r="T567" i="1"/>
  <c r="U567" i="1" s="1"/>
  <c r="T563" i="1"/>
  <c r="U563" i="1" s="1"/>
  <c r="T557" i="1"/>
  <c r="U557" i="1" s="1"/>
  <c r="T551" i="1"/>
  <c r="U551" i="1" s="1"/>
  <c r="T550" i="1"/>
  <c r="U550" i="1" s="1"/>
  <c r="T543" i="1"/>
  <c r="U543" i="1" s="1"/>
  <c r="T542" i="1"/>
  <c r="U542" i="1" s="1"/>
  <c r="T537" i="1"/>
  <c r="U537" i="1" s="1"/>
  <c r="T535" i="1"/>
  <c r="U535" i="1" s="1"/>
  <c r="T523" i="1"/>
  <c r="U523" i="1" s="1"/>
  <c r="T518" i="1"/>
  <c r="U518" i="1" s="1"/>
  <c r="G155" i="2" l="1"/>
  <c r="G167" i="2"/>
  <c r="G171" i="2"/>
  <c r="G173" i="2"/>
  <c r="G175" i="2"/>
  <c r="G179" i="2"/>
  <c r="G181" i="2"/>
  <c r="G183" i="2"/>
  <c r="G187" i="2"/>
  <c r="G189" i="2"/>
  <c r="G653" i="1"/>
  <c r="G584" i="1"/>
  <c r="G522" i="1"/>
  <c r="G566" i="1"/>
  <c r="G618" i="1"/>
  <c r="G673" i="1"/>
  <c r="G606" i="1"/>
  <c r="G645" i="1"/>
  <c r="G605" i="1"/>
  <c r="G657" i="1"/>
  <c r="G598" i="1"/>
  <c r="G575" i="1"/>
  <c r="G650" i="1"/>
  <c r="G654" i="1"/>
  <c r="G644" i="1"/>
  <c r="G159" i="2"/>
  <c r="G174" i="2"/>
  <c r="G176" i="2"/>
  <c r="G166" i="2"/>
  <c r="G165" i="2"/>
  <c r="G163" i="2"/>
  <c r="G162" i="2"/>
  <c r="G158" i="2"/>
  <c r="G160" i="2"/>
  <c r="G157" i="2"/>
  <c r="G164" i="2"/>
  <c r="G169" i="2"/>
  <c r="G172" i="2"/>
  <c r="G177" i="2"/>
  <c r="G180" i="2"/>
  <c r="G185" i="2"/>
  <c r="G161" i="2"/>
  <c r="G154" i="2"/>
  <c r="G184" i="2"/>
  <c r="G611" i="1"/>
  <c r="G583" i="1"/>
  <c r="G560" i="1"/>
  <c r="G630" i="1"/>
  <c r="G554" i="1"/>
  <c r="G599" i="1"/>
  <c r="G632" i="1"/>
  <c r="G545" i="1"/>
  <c r="G539" i="1"/>
  <c r="G668" i="1"/>
  <c r="G620" i="1"/>
  <c r="G590" i="1"/>
  <c r="G528" i="1"/>
  <c r="G592" i="1"/>
  <c r="G544" i="1"/>
  <c r="G593" i="1"/>
  <c r="G612" i="1"/>
  <c r="G533" i="1"/>
  <c r="G561" i="1"/>
  <c r="G572" i="1"/>
  <c r="G651" i="1"/>
  <c r="G555" i="1"/>
  <c r="G674" i="1"/>
  <c r="G546" i="1"/>
  <c r="G534" i="1"/>
  <c r="G571" i="1"/>
  <c r="G638" i="1"/>
  <c r="G631" i="1"/>
  <c r="G594" i="1"/>
  <c r="G585" i="1"/>
  <c r="G553" i="1"/>
  <c r="G672" i="1"/>
  <c r="G529" i="1"/>
  <c r="G634" i="1"/>
  <c r="D677" i="1" l="1"/>
  <c r="C677" i="1"/>
  <c r="D662" i="1"/>
  <c r="C662" i="1"/>
  <c r="D614" i="1"/>
  <c r="C614" i="1"/>
  <c r="D667" i="1"/>
  <c r="C667" i="1"/>
  <c r="D656" i="1"/>
  <c r="C656" i="1"/>
  <c r="G656" i="1" s="1"/>
  <c r="D582" i="1"/>
  <c r="C582" i="1"/>
  <c r="D637" i="1"/>
  <c r="C637" i="1"/>
  <c r="G637" i="1" s="1"/>
  <c r="D676" i="1"/>
  <c r="C676" i="1"/>
  <c r="D574" i="1"/>
  <c r="C574" i="1"/>
  <c r="G574" i="1" s="1"/>
  <c r="D521" i="1"/>
  <c r="C521" i="1"/>
  <c r="D548" i="1"/>
  <c r="C548" i="1"/>
  <c r="G548" i="1" s="1"/>
  <c r="D570" i="1"/>
  <c r="C570" i="1"/>
  <c r="D559" i="1"/>
  <c r="C559" i="1"/>
  <c r="G559" i="1" s="1"/>
  <c r="D623" i="1"/>
  <c r="C623" i="1"/>
  <c r="D547" i="1"/>
  <c r="C547" i="1"/>
  <c r="G547" i="1" s="1"/>
  <c r="D532" i="1"/>
  <c r="C532" i="1"/>
  <c r="D627" i="1"/>
  <c r="C627" i="1"/>
  <c r="G627" i="1" s="1"/>
  <c r="D633" i="1"/>
  <c r="C633" i="1"/>
  <c r="D562" i="1"/>
  <c r="C562" i="1"/>
  <c r="G562" i="1" s="1"/>
  <c r="D541" i="1"/>
  <c r="C541" i="1"/>
  <c r="D608" i="1"/>
  <c r="C608" i="1"/>
  <c r="G608" i="1" s="1"/>
  <c r="D601" i="1"/>
  <c r="C601" i="1"/>
  <c r="D576" i="1"/>
  <c r="C576" i="1"/>
  <c r="G576" i="1" s="1"/>
  <c r="D613" i="1"/>
  <c r="C613" i="1"/>
  <c r="D595" i="1"/>
  <c r="C595" i="1"/>
  <c r="G595" i="1" s="1"/>
  <c r="D626" i="1"/>
  <c r="C626" i="1"/>
  <c r="D640" i="1"/>
  <c r="C640" i="1"/>
  <c r="G640" i="1" s="1"/>
  <c r="D655" i="1"/>
  <c r="C655" i="1"/>
  <c r="D646" i="1"/>
  <c r="C646" i="1"/>
  <c r="G646" i="1" s="1"/>
  <c r="D652" i="1"/>
  <c r="C652" i="1"/>
  <c r="D624" i="1"/>
  <c r="C624" i="1"/>
  <c r="G624" i="1" s="1"/>
  <c r="D607" i="1"/>
  <c r="C607" i="1"/>
  <c r="D527" i="1"/>
  <c r="C527" i="1"/>
  <c r="G527" i="1" s="1"/>
  <c r="D526" i="1"/>
  <c r="C526" i="1"/>
  <c r="D589" i="1"/>
  <c r="C589" i="1"/>
  <c r="G589" i="1" s="1"/>
  <c r="D530" i="1"/>
  <c r="C530" i="1"/>
  <c r="D666" i="1"/>
  <c r="C666" i="1"/>
  <c r="G666" i="1" s="1"/>
  <c r="D636" i="1"/>
  <c r="C636" i="1"/>
  <c r="D581" i="1"/>
  <c r="C581" i="1"/>
  <c r="G581" i="1" s="1"/>
  <c r="D661" i="1"/>
  <c r="C661" i="1"/>
  <c r="D549" i="1"/>
  <c r="C549" i="1"/>
  <c r="G549" i="1" s="1"/>
  <c r="D520" i="1"/>
  <c r="C520" i="1"/>
  <c r="D665" i="1"/>
  <c r="C665" i="1"/>
  <c r="G665" i="1" s="1"/>
  <c r="D639" i="1"/>
  <c r="C639" i="1"/>
  <c r="D586" i="1"/>
  <c r="C586" i="1"/>
  <c r="G586" i="1" s="1"/>
  <c r="D536" i="1"/>
  <c r="C536" i="1"/>
  <c r="D540" i="1"/>
  <c r="C540" i="1"/>
  <c r="G540" i="1" s="1"/>
  <c r="D597" i="1"/>
  <c r="C597" i="1"/>
  <c r="D558" i="1"/>
  <c r="C558" i="1"/>
  <c r="G558" i="1" s="1"/>
  <c r="D600" i="1"/>
  <c r="C600" i="1"/>
  <c r="D625" i="1"/>
  <c r="C625" i="1"/>
  <c r="G625" i="1" s="1"/>
  <c r="D664" i="1"/>
  <c r="C664" i="1"/>
  <c r="D525" i="1"/>
  <c r="C525" i="1"/>
  <c r="G525" i="1" s="1"/>
  <c r="D619" i="1"/>
  <c r="C619" i="1"/>
  <c r="D663" i="1"/>
  <c r="C663" i="1"/>
  <c r="G663" i="1" s="1"/>
  <c r="D519" i="1"/>
  <c r="C519" i="1"/>
  <c r="D524" i="1"/>
  <c r="C524" i="1"/>
  <c r="G524" i="1" s="1"/>
  <c r="D531" i="1"/>
  <c r="C531" i="1"/>
  <c r="D538" i="1"/>
  <c r="C538" i="1"/>
  <c r="G538" i="1" s="1"/>
  <c r="D552" i="1"/>
  <c r="C552" i="1"/>
  <c r="D565" i="1"/>
  <c r="C565" i="1"/>
  <c r="G565" i="1" s="1"/>
  <c r="D564" i="1"/>
  <c r="C564" i="1"/>
  <c r="D569" i="1"/>
  <c r="C569" i="1"/>
  <c r="G569" i="1" s="1"/>
  <c r="D580" i="1"/>
  <c r="C580" i="1"/>
  <c r="D579" i="1"/>
  <c r="C579" i="1"/>
  <c r="G579" i="1" s="1"/>
  <c r="D588" i="1"/>
  <c r="C588" i="1"/>
  <c r="D591" i="1"/>
  <c r="C591" i="1"/>
  <c r="G591" i="1" s="1"/>
  <c r="D596" i="1"/>
  <c r="C596" i="1"/>
  <c r="D604" i="1"/>
  <c r="C604" i="1"/>
  <c r="G604" i="1" s="1"/>
  <c r="D617" i="1"/>
  <c r="C617" i="1"/>
  <c r="D629" i="1"/>
  <c r="C629" i="1"/>
  <c r="G629" i="1" s="1"/>
  <c r="D628" i="1"/>
  <c r="C628" i="1"/>
  <c r="D635" i="1"/>
  <c r="C635" i="1"/>
  <c r="G635" i="1" s="1"/>
  <c r="D649" i="1"/>
  <c r="C649" i="1"/>
  <c r="D648" i="1"/>
  <c r="C648" i="1"/>
  <c r="G648" i="1" s="1"/>
  <c r="D660" i="1"/>
  <c r="C660" i="1"/>
  <c r="D671" i="1"/>
  <c r="C671" i="1"/>
  <c r="G671" i="1" s="1"/>
  <c r="D675" i="1"/>
  <c r="C675" i="1"/>
  <c r="D670" i="1"/>
  <c r="C670" i="1"/>
  <c r="G670" i="1" s="1"/>
  <c r="D669" i="1"/>
  <c r="C669" i="1"/>
  <c r="D659" i="1"/>
  <c r="C659" i="1"/>
  <c r="G659" i="1" s="1"/>
  <c r="D658" i="1"/>
  <c r="C658" i="1"/>
  <c r="D647" i="1"/>
  <c r="C647" i="1"/>
  <c r="G647" i="1" s="1"/>
  <c r="D643" i="1"/>
  <c r="C643" i="1"/>
  <c r="D642" i="1"/>
  <c r="C642" i="1"/>
  <c r="G642" i="1" s="1"/>
  <c r="D641" i="1"/>
  <c r="C641" i="1"/>
  <c r="D622" i="1"/>
  <c r="C622" i="1"/>
  <c r="G622" i="1" s="1"/>
  <c r="D621" i="1"/>
  <c r="C621" i="1"/>
  <c r="D616" i="1"/>
  <c r="C616" i="1"/>
  <c r="G616" i="1" s="1"/>
  <c r="D615" i="1"/>
  <c r="C615" i="1"/>
  <c r="D610" i="1"/>
  <c r="C610" i="1"/>
  <c r="G610" i="1" s="1"/>
  <c r="D609" i="1"/>
  <c r="C609" i="1"/>
  <c r="D603" i="1"/>
  <c r="C603" i="1"/>
  <c r="G603" i="1" s="1"/>
  <c r="D602" i="1"/>
  <c r="C602" i="1"/>
  <c r="D587" i="1"/>
  <c r="C587" i="1"/>
  <c r="G587" i="1" s="1"/>
  <c r="D578" i="1"/>
  <c r="C578" i="1"/>
  <c r="D577" i="1"/>
  <c r="C577" i="1"/>
  <c r="G577" i="1" s="1"/>
  <c r="D573" i="1"/>
  <c r="C573" i="1"/>
  <c r="D568" i="1"/>
  <c r="C568" i="1"/>
  <c r="G568" i="1" s="1"/>
  <c r="D567" i="1"/>
  <c r="C567" i="1"/>
  <c r="D563" i="1"/>
  <c r="C563" i="1"/>
  <c r="G563" i="1" s="1"/>
  <c r="D557" i="1"/>
  <c r="C557" i="1"/>
  <c r="D551" i="1"/>
  <c r="C551" i="1"/>
  <c r="G551" i="1" s="1"/>
  <c r="D550" i="1"/>
  <c r="C550" i="1"/>
  <c r="D543" i="1"/>
  <c r="C543" i="1"/>
  <c r="G543" i="1" s="1"/>
  <c r="D542" i="1"/>
  <c r="C542" i="1"/>
  <c r="D537" i="1"/>
  <c r="C537" i="1"/>
  <c r="G537" i="1" s="1"/>
  <c r="D535" i="1"/>
  <c r="C535" i="1"/>
  <c r="D523" i="1"/>
  <c r="C523" i="1"/>
  <c r="D518" i="1"/>
  <c r="C518" i="1"/>
  <c r="G614" i="1" l="1"/>
  <c r="G677" i="1"/>
  <c r="G523" i="1"/>
  <c r="G518" i="1"/>
  <c r="G535" i="1"/>
  <c r="G542" i="1"/>
  <c r="G550" i="1"/>
  <c r="G557" i="1"/>
  <c r="G567" i="1"/>
  <c r="G573" i="1"/>
  <c r="G578" i="1"/>
  <c r="G602" i="1"/>
  <c r="G609" i="1"/>
  <c r="G615" i="1"/>
  <c r="G621" i="1"/>
  <c r="G641" i="1"/>
  <c r="G643" i="1"/>
  <c r="G658" i="1"/>
  <c r="G669" i="1"/>
  <c r="G675" i="1"/>
  <c r="G660" i="1"/>
  <c r="G649" i="1"/>
  <c r="G628" i="1"/>
  <c r="G617" i="1"/>
  <c r="G596" i="1"/>
  <c r="G588" i="1"/>
  <c r="G580" i="1"/>
  <c r="G564" i="1"/>
  <c r="G552" i="1"/>
  <c r="G531" i="1"/>
  <c r="G519" i="1"/>
  <c r="G619" i="1"/>
  <c r="G664" i="1"/>
  <c r="G600" i="1"/>
  <c r="G597" i="1"/>
  <c r="G536" i="1"/>
  <c r="G639" i="1"/>
  <c r="G520" i="1"/>
  <c r="G661" i="1"/>
  <c r="G636" i="1"/>
  <c r="G530" i="1"/>
  <c r="G526" i="1"/>
  <c r="G607" i="1"/>
  <c r="G652" i="1"/>
  <c r="G655" i="1"/>
  <c r="G626" i="1"/>
  <c r="G613" i="1"/>
  <c r="G601" i="1"/>
  <c r="G541" i="1"/>
  <c r="G633" i="1"/>
  <c r="G532" i="1"/>
  <c r="G623" i="1"/>
  <c r="G570" i="1"/>
  <c r="G521" i="1"/>
  <c r="G676" i="1"/>
  <c r="G582" i="1"/>
  <c r="G667" i="1"/>
  <c r="G662" i="1"/>
  <c r="T517" i="1"/>
  <c r="U517" i="1" s="1"/>
  <c r="L517" i="1"/>
  <c r="D517" i="1"/>
  <c r="C517" i="1"/>
  <c r="T516" i="1"/>
  <c r="U516" i="1" s="1"/>
  <c r="L516" i="1"/>
  <c r="D516" i="1"/>
  <c r="C516" i="1"/>
  <c r="G516" i="1" l="1"/>
  <c r="G517" i="1"/>
  <c r="I2998" i="8"/>
  <c r="L10" i="5" s="1"/>
  <c r="G2998" i="8"/>
  <c r="H1999" i="7"/>
  <c r="I18" i="5" s="1"/>
  <c r="G1999" i="7"/>
  <c r="P1000" i="4"/>
  <c r="O1000" i="4"/>
  <c r="N1000" i="4"/>
  <c r="M1000" i="4"/>
  <c r="L1000" i="4"/>
  <c r="I8" i="5"/>
  <c r="M5000" i="1" l="1"/>
  <c r="G14" i="5" s="1"/>
  <c r="J9" i="5"/>
  <c r="I4" i="5"/>
  <c r="I5" i="5" s="1"/>
  <c r="I9" i="5" s="1"/>
  <c r="G4" i="5"/>
  <c r="G9" i="5" s="1"/>
  <c r="P5000" i="1"/>
  <c r="F14" i="5" s="1"/>
  <c r="F15" i="5" s="1"/>
  <c r="F18" i="5" s="1"/>
  <c r="O133" i="2"/>
  <c r="S133" i="2" s="1"/>
  <c r="V133" i="2" s="1"/>
  <c r="S126" i="2"/>
  <c r="O153" i="2"/>
  <c r="S153" i="2" s="1"/>
  <c r="V153" i="2" s="1"/>
  <c r="D153" i="2"/>
  <c r="C153" i="2"/>
  <c r="O152" i="2"/>
  <c r="S152" i="2" s="1"/>
  <c r="V152" i="2" s="1"/>
  <c r="D152" i="2"/>
  <c r="C152" i="2"/>
  <c r="O151" i="2"/>
  <c r="D151" i="2"/>
  <c r="C151" i="2"/>
  <c r="O150" i="2"/>
  <c r="D150" i="2"/>
  <c r="C150" i="2"/>
  <c r="O149" i="2"/>
  <c r="S149" i="2" s="1"/>
  <c r="V149" i="2" s="1"/>
  <c r="D149" i="2"/>
  <c r="C149" i="2"/>
  <c r="O148" i="2"/>
  <c r="D148" i="2"/>
  <c r="C148" i="2"/>
  <c r="O147" i="2"/>
  <c r="D147" i="2"/>
  <c r="C147" i="2"/>
  <c r="O146" i="2"/>
  <c r="D146" i="2"/>
  <c r="C146" i="2"/>
  <c r="O145" i="2"/>
  <c r="S145" i="2" s="1"/>
  <c r="V145" i="2" s="1"/>
  <c r="D145" i="2"/>
  <c r="C145" i="2"/>
  <c r="O144" i="2"/>
  <c r="S144" i="2" s="1"/>
  <c r="V144" i="2" s="1"/>
  <c r="D144" i="2"/>
  <c r="C144" i="2"/>
  <c r="O143" i="2"/>
  <c r="D143" i="2"/>
  <c r="C143" i="2"/>
  <c r="O142" i="2"/>
  <c r="S142" i="2" s="1"/>
  <c r="V142" i="2" s="1"/>
  <c r="D142" i="2"/>
  <c r="C142" i="2"/>
  <c r="O141" i="2"/>
  <c r="S141" i="2" s="1"/>
  <c r="V141" i="2" s="1"/>
  <c r="D141" i="2"/>
  <c r="C141" i="2"/>
  <c r="O140" i="2"/>
  <c r="R140" i="2" s="1"/>
  <c r="D140" i="2"/>
  <c r="C140" i="2"/>
  <c r="O139" i="2"/>
  <c r="S139" i="2" s="1"/>
  <c r="V139" i="2" s="1"/>
  <c r="D139" i="2"/>
  <c r="C139" i="2"/>
  <c r="O138" i="2"/>
  <c r="D138" i="2"/>
  <c r="C138" i="2"/>
  <c r="O137" i="2"/>
  <c r="D137" i="2"/>
  <c r="C137" i="2"/>
  <c r="G137" i="2" s="1"/>
  <c r="O136" i="2"/>
  <c r="S136" i="2" s="1"/>
  <c r="V136" i="2" s="1"/>
  <c r="D136" i="2"/>
  <c r="C136" i="2"/>
  <c r="O135" i="2"/>
  <c r="D135" i="2"/>
  <c r="C135" i="2"/>
  <c r="O134" i="2"/>
  <c r="D134" i="2"/>
  <c r="C134" i="2"/>
  <c r="D133" i="2"/>
  <c r="C133" i="2"/>
  <c r="O132" i="2"/>
  <c r="D132" i="2"/>
  <c r="C132" i="2"/>
  <c r="O131" i="2"/>
  <c r="S131" i="2" s="1"/>
  <c r="V131" i="2" s="1"/>
  <c r="D131" i="2"/>
  <c r="C131" i="2"/>
  <c r="O130" i="2"/>
  <c r="D130" i="2"/>
  <c r="C130" i="2"/>
  <c r="O129" i="2"/>
  <c r="D129" i="2"/>
  <c r="C129" i="2"/>
  <c r="O128" i="2"/>
  <c r="D128" i="2"/>
  <c r="C128" i="2"/>
  <c r="O127" i="2"/>
  <c r="D127" i="2"/>
  <c r="C127" i="2"/>
  <c r="O126" i="2"/>
  <c r="D126" i="2"/>
  <c r="C126" i="2"/>
  <c r="O125" i="2"/>
  <c r="R125" i="2" s="1"/>
  <c r="S125" i="2" s="1"/>
  <c r="V125" i="2" s="1"/>
  <c r="D125" i="2"/>
  <c r="C125" i="2"/>
  <c r="U23" i="4"/>
  <c r="U22" i="4"/>
  <c r="U21" i="4"/>
  <c r="U20" i="4"/>
  <c r="U19" i="4"/>
  <c r="U18" i="4"/>
  <c r="U17" i="4"/>
  <c r="G143" i="2" l="1"/>
  <c r="G147" i="2"/>
  <c r="G151" i="2"/>
  <c r="G140" i="2"/>
  <c r="R5000" i="2"/>
  <c r="H4" i="5" s="1"/>
  <c r="H9" i="5" s="1"/>
  <c r="K9" i="5" s="1"/>
  <c r="G150" i="2"/>
  <c r="G127" i="2"/>
  <c r="G132" i="2"/>
  <c r="G129" i="2"/>
  <c r="G133" i="2"/>
  <c r="G148" i="2"/>
  <c r="G152" i="2"/>
  <c r="G146" i="2"/>
  <c r="G144" i="2"/>
  <c r="S148" i="2"/>
  <c r="V148" i="2" s="1"/>
  <c r="S143" i="2"/>
  <c r="V143" i="2" s="1"/>
  <c r="S147" i="2"/>
  <c r="V147" i="2" s="1"/>
  <c r="S146" i="2"/>
  <c r="V146" i="2" s="1"/>
  <c r="S151" i="2"/>
  <c r="V151" i="2" s="1"/>
  <c r="S150" i="2"/>
  <c r="V150" i="2" s="1"/>
  <c r="G141" i="2"/>
  <c r="S140" i="2"/>
  <c r="V140" i="2" s="1"/>
  <c r="S138" i="2"/>
  <c r="V138" i="2" s="1"/>
  <c r="S137" i="2"/>
  <c r="V137" i="2" s="1"/>
  <c r="S135" i="2"/>
  <c r="V135" i="2" s="1"/>
  <c r="G135" i="2"/>
  <c r="S134" i="2"/>
  <c r="V134" i="2" s="1"/>
  <c r="S132" i="2"/>
  <c r="V132" i="2" s="1"/>
  <c r="S130" i="2"/>
  <c r="V130" i="2" s="1"/>
  <c r="S129" i="2"/>
  <c r="V129" i="2" s="1"/>
  <c r="S128" i="2"/>
  <c r="V128" i="2" s="1"/>
  <c r="S127" i="2"/>
  <c r="V127" i="2" s="1"/>
  <c r="V126" i="2"/>
  <c r="G134" i="2"/>
  <c r="G136" i="2"/>
  <c r="G126" i="2"/>
  <c r="G142" i="2"/>
  <c r="G128" i="2"/>
  <c r="G130" i="2"/>
  <c r="G131" i="2"/>
  <c r="G138" i="2"/>
  <c r="G139" i="2"/>
  <c r="G145" i="2"/>
  <c r="G149" i="2"/>
  <c r="G153" i="2"/>
  <c r="G125" i="2"/>
  <c r="M407" i="1"/>
  <c r="M418" i="1"/>
  <c r="M425" i="1"/>
  <c r="M424" i="1"/>
  <c r="M436" i="1"/>
  <c r="M447" i="1"/>
  <c r="M453" i="1"/>
  <c r="M473" i="1"/>
  <c r="M477" i="1"/>
  <c r="M475" i="1"/>
  <c r="M482" i="1"/>
  <c r="M487" i="1"/>
  <c r="M492" i="1"/>
  <c r="M501" i="1"/>
  <c r="M505" i="1"/>
  <c r="M512" i="1"/>
  <c r="M504" i="1"/>
  <c r="M495" i="1"/>
  <c r="M494" i="1"/>
  <c r="M488" i="1"/>
  <c r="M486" i="1"/>
  <c r="M485" i="1"/>
  <c r="M484" i="1"/>
  <c r="M474" i="1"/>
  <c r="M472" i="1"/>
  <c r="M468" i="1"/>
  <c r="M461" i="1"/>
  <c r="M460" i="1"/>
  <c r="M452" i="1"/>
  <c r="M451" i="1"/>
  <c r="M446" i="1"/>
  <c r="M441" i="1"/>
  <c r="M431" i="1"/>
  <c r="M428" i="1"/>
  <c r="M423" i="1"/>
  <c r="M416" i="1"/>
  <c r="M415" i="1"/>
  <c r="M406" i="1"/>
  <c r="M405" i="1"/>
  <c r="T450" i="1"/>
  <c r="U450" i="1" s="1"/>
  <c r="L450" i="1"/>
  <c r="D450" i="1"/>
  <c r="C450" i="1"/>
  <c r="T510" i="1"/>
  <c r="U510" i="1" s="1"/>
  <c r="L510" i="1"/>
  <c r="D510" i="1"/>
  <c r="C510" i="1"/>
  <c r="T427" i="1"/>
  <c r="U427" i="1" s="1"/>
  <c r="L427" i="1"/>
  <c r="D427" i="1"/>
  <c r="C427" i="1"/>
  <c r="T411" i="1"/>
  <c r="U411" i="1" s="1"/>
  <c r="L411" i="1"/>
  <c r="D411" i="1"/>
  <c r="C411" i="1"/>
  <c r="T509" i="1"/>
  <c r="U509" i="1" s="1"/>
  <c r="L509" i="1"/>
  <c r="D509" i="1"/>
  <c r="C509" i="1"/>
  <c r="T500" i="1"/>
  <c r="U500" i="1" s="1"/>
  <c r="L500" i="1"/>
  <c r="D500" i="1"/>
  <c r="C500" i="1"/>
  <c r="T491" i="1"/>
  <c r="U491" i="1" s="1"/>
  <c r="L491" i="1"/>
  <c r="D491" i="1"/>
  <c r="C491" i="1"/>
  <c r="T481" i="1"/>
  <c r="U481" i="1" s="1"/>
  <c r="L481" i="1"/>
  <c r="D481" i="1"/>
  <c r="C481" i="1"/>
  <c r="T466" i="1"/>
  <c r="U466" i="1" s="1"/>
  <c r="L466" i="1"/>
  <c r="D466" i="1"/>
  <c r="C466" i="1"/>
  <c r="T459" i="1"/>
  <c r="U459" i="1" s="1"/>
  <c r="L459" i="1"/>
  <c r="D459" i="1"/>
  <c r="C459" i="1"/>
  <c r="T434" i="1"/>
  <c r="U434" i="1" s="1"/>
  <c r="L434" i="1"/>
  <c r="D434" i="1"/>
  <c r="C434" i="1"/>
  <c r="T426" i="1"/>
  <c r="U426" i="1" s="1"/>
  <c r="L426" i="1"/>
  <c r="D426" i="1"/>
  <c r="C426" i="1"/>
  <c r="T458" i="1"/>
  <c r="U458" i="1" s="1"/>
  <c r="L458" i="1"/>
  <c r="D458" i="1"/>
  <c r="C458" i="1"/>
  <c r="T480" i="1"/>
  <c r="U480" i="1" s="1"/>
  <c r="L480" i="1"/>
  <c r="D480" i="1"/>
  <c r="C480" i="1"/>
  <c r="T414" i="1"/>
  <c r="U414" i="1" s="1"/>
  <c r="L414" i="1"/>
  <c r="D414" i="1"/>
  <c r="C414" i="1"/>
  <c r="T508" i="1"/>
  <c r="U508" i="1" s="1"/>
  <c r="L508" i="1"/>
  <c r="D508" i="1"/>
  <c r="C508" i="1"/>
  <c r="T490" i="1"/>
  <c r="U490" i="1" s="1"/>
  <c r="L490" i="1"/>
  <c r="D490" i="1"/>
  <c r="C490" i="1"/>
  <c r="T465" i="1"/>
  <c r="U465" i="1" s="1"/>
  <c r="L465" i="1"/>
  <c r="D465" i="1"/>
  <c r="C465" i="1"/>
  <c r="T433" i="1"/>
  <c r="U433" i="1" s="1"/>
  <c r="L433" i="1"/>
  <c r="D433" i="1"/>
  <c r="C433" i="1"/>
  <c r="T515" i="1"/>
  <c r="U515" i="1" s="1"/>
  <c r="L515" i="1"/>
  <c r="D515" i="1"/>
  <c r="C515" i="1"/>
  <c r="T507" i="1"/>
  <c r="X507" i="1" s="1"/>
  <c r="T497" i="1"/>
  <c r="U497" i="1" s="1"/>
  <c r="T493" i="1"/>
  <c r="X493" i="1" s="1"/>
  <c r="T483" i="1"/>
  <c r="X483" i="1" s="1"/>
  <c r="T479" i="1"/>
  <c r="X479" i="1" s="1"/>
  <c r="T471" i="1"/>
  <c r="U471" i="1" s="1"/>
  <c r="T457" i="1"/>
  <c r="X457" i="1" s="1"/>
  <c r="T445" i="1"/>
  <c r="X445" i="1" s="1"/>
  <c r="T440" i="1"/>
  <c r="X440" i="1" s="1"/>
  <c r="T417" i="1"/>
  <c r="U417" i="1" s="1"/>
  <c r="T413" i="1"/>
  <c r="X413" i="1" s="1"/>
  <c r="T410" i="1"/>
  <c r="X410" i="1" s="1"/>
  <c r="T503" i="1"/>
  <c r="X503" i="1" s="1"/>
  <c r="T499" i="1"/>
  <c r="U499" i="1" s="1"/>
  <c r="T489" i="1"/>
  <c r="X489" i="1" s="1"/>
  <c r="T478" i="1"/>
  <c r="X478" i="1" s="1"/>
  <c r="T502" i="1"/>
  <c r="X502" i="1" s="1"/>
  <c r="T449" i="1"/>
  <c r="U449" i="1" s="1"/>
  <c r="T439" i="1"/>
  <c r="X439" i="1" s="1"/>
  <c r="T422" i="1"/>
  <c r="X422" i="1" s="1"/>
  <c r="T409" i="1"/>
  <c r="X409" i="1" s="1"/>
  <c r="T385" i="1"/>
  <c r="U385" i="1" s="1"/>
  <c r="T396" i="1"/>
  <c r="X396" i="1" s="1"/>
  <c r="T444" i="1"/>
  <c r="X444" i="1" s="1"/>
  <c r="T464" i="1"/>
  <c r="X464" i="1" s="1"/>
  <c r="T448" i="1"/>
  <c r="U448" i="1" s="1"/>
  <c r="T395" i="1"/>
  <c r="X395" i="1" s="1"/>
  <c r="T421" i="1"/>
  <c r="X421" i="1" s="1"/>
  <c r="T400" i="1"/>
  <c r="X400" i="1" s="1"/>
  <c r="T394" i="1"/>
  <c r="U394" i="1" s="1"/>
  <c r="T393" i="1"/>
  <c r="X393" i="1" s="1"/>
  <c r="T390" i="1"/>
  <c r="X390" i="1" s="1"/>
  <c r="T399" i="1"/>
  <c r="X399" i="1" s="1"/>
  <c r="T402" i="1"/>
  <c r="U402" i="1" s="1"/>
  <c r="T470" i="1"/>
  <c r="X470" i="1" s="1"/>
  <c r="T456" i="1"/>
  <c r="X456" i="1" s="1"/>
  <c r="T443" i="1"/>
  <c r="X443" i="1" s="1"/>
  <c r="T438" i="1"/>
  <c r="X438" i="1" s="1"/>
  <c r="T391" i="1"/>
  <c r="X391" i="1" s="1"/>
  <c r="T420" i="1"/>
  <c r="X420" i="1" s="1"/>
  <c r="T437" i="1"/>
  <c r="X437" i="1" s="1"/>
  <c r="T455" i="1"/>
  <c r="U455" i="1" s="1"/>
  <c r="T463" i="1"/>
  <c r="X463" i="1" s="1"/>
  <c r="T404" i="1"/>
  <c r="X404" i="1" s="1"/>
  <c r="T401" i="1"/>
  <c r="U401" i="1" s="1"/>
  <c r="T392" i="1"/>
  <c r="U392" i="1" s="1"/>
  <c r="T388" i="1"/>
  <c r="X388" i="1" s="1"/>
  <c r="T419" i="1"/>
  <c r="X419" i="1" s="1"/>
  <c r="T387" i="1"/>
  <c r="U387" i="1" s="1"/>
  <c r="T389" i="1"/>
  <c r="U389" i="1" s="1"/>
  <c r="T386" i="1"/>
  <c r="X386" i="1" s="1"/>
  <c r="T469" i="1"/>
  <c r="X469" i="1" s="1"/>
  <c r="T496" i="1"/>
  <c r="U496" i="1" s="1"/>
  <c r="T408" i="1"/>
  <c r="U408" i="1" s="1"/>
  <c r="T397" i="1"/>
  <c r="X397" i="1" s="1"/>
  <c r="T398" i="1"/>
  <c r="X398" i="1" s="1"/>
  <c r="T403" i="1"/>
  <c r="U403" i="1" s="1"/>
  <c r="T432" i="1"/>
  <c r="U432" i="1" s="1"/>
  <c r="T407" i="1"/>
  <c r="X407" i="1" s="1"/>
  <c r="T412" i="1"/>
  <c r="X412" i="1" s="1"/>
  <c r="T418" i="1"/>
  <c r="X418" i="1" s="1"/>
  <c r="T425" i="1"/>
  <c r="U425" i="1" s="1"/>
  <c r="T424" i="1"/>
  <c r="X424" i="1" s="1"/>
  <c r="T436" i="1"/>
  <c r="X436" i="1" s="1"/>
  <c r="T442" i="1"/>
  <c r="X442" i="1" s="1"/>
  <c r="T447" i="1"/>
  <c r="U447" i="1" s="1"/>
  <c r="T454" i="1"/>
  <c r="X454" i="1" s="1"/>
  <c r="T453" i="1"/>
  <c r="X453" i="1" s="1"/>
  <c r="T462" i="1"/>
  <c r="X462" i="1" s="1"/>
  <c r="T473" i="1"/>
  <c r="X473" i="1" s="1"/>
  <c r="T477" i="1"/>
  <c r="X477" i="1" s="1"/>
  <c r="T476" i="1"/>
  <c r="X476" i="1" s="1"/>
  <c r="T475" i="1"/>
  <c r="X475" i="1" s="1"/>
  <c r="T482" i="1"/>
  <c r="U482" i="1" s="1"/>
  <c r="T487" i="1"/>
  <c r="X487" i="1" s="1"/>
  <c r="T492" i="1"/>
  <c r="X492" i="1" s="1"/>
  <c r="T498" i="1"/>
  <c r="U498" i="1" s="1"/>
  <c r="T501" i="1"/>
  <c r="U501" i="1" s="1"/>
  <c r="T505" i="1"/>
  <c r="X505" i="1" s="1"/>
  <c r="T514" i="1"/>
  <c r="X514" i="1" s="1"/>
  <c r="T513" i="1"/>
  <c r="U513" i="1" s="1"/>
  <c r="T512" i="1"/>
  <c r="U512" i="1" s="1"/>
  <c r="T511" i="1"/>
  <c r="X511" i="1" s="1"/>
  <c r="T506" i="1"/>
  <c r="X506" i="1" s="1"/>
  <c r="T504" i="1"/>
  <c r="U504" i="1" s="1"/>
  <c r="T495" i="1"/>
  <c r="U495" i="1" s="1"/>
  <c r="T494" i="1"/>
  <c r="X494" i="1" s="1"/>
  <c r="T488" i="1"/>
  <c r="X488" i="1" s="1"/>
  <c r="T486" i="1"/>
  <c r="U486" i="1" s="1"/>
  <c r="T485" i="1"/>
  <c r="U485" i="1" s="1"/>
  <c r="T484" i="1"/>
  <c r="X484" i="1" s="1"/>
  <c r="T474" i="1"/>
  <c r="X474" i="1" s="1"/>
  <c r="T472" i="1"/>
  <c r="X472" i="1" s="1"/>
  <c r="T468" i="1"/>
  <c r="U468" i="1" s="1"/>
  <c r="T461" i="1"/>
  <c r="U461" i="1" s="1"/>
  <c r="T460" i="1"/>
  <c r="X460" i="1" s="1"/>
  <c r="T452" i="1"/>
  <c r="X452" i="1" s="1"/>
  <c r="T451" i="1"/>
  <c r="U451" i="1" s="1"/>
  <c r="T446" i="1"/>
  <c r="U446" i="1" s="1"/>
  <c r="T441" i="1"/>
  <c r="X441" i="1" s="1"/>
  <c r="T435" i="1"/>
  <c r="X435" i="1" s="1"/>
  <c r="T431" i="1"/>
  <c r="U431" i="1" s="1"/>
  <c r="T429" i="1"/>
  <c r="X429" i="1" s="1"/>
  <c r="T428" i="1"/>
  <c r="X428" i="1" s="1"/>
  <c r="T423" i="1"/>
  <c r="X423" i="1" s="1"/>
  <c r="T416" i="1"/>
  <c r="X416" i="1" s="1"/>
  <c r="T415" i="1"/>
  <c r="X415" i="1" s="1"/>
  <c r="T406" i="1"/>
  <c r="X406" i="1" s="1"/>
  <c r="T405" i="1"/>
  <c r="X405" i="1" s="1"/>
  <c r="T430" i="1"/>
  <c r="X430" i="1" s="1"/>
  <c r="T467" i="1"/>
  <c r="U467" i="1" s="1"/>
  <c r="L467" i="1"/>
  <c r="U507" i="1"/>
  <c r="L507" i="1"/>
  <c r="D507" i="1"/>
  <c r="C507" i="1"/>
  <c r="L497" i="1"/>
  <c r="D497" i="1"/>
  <c r="C497" i="1"/>
  <c r="L493" i="1"/>
  <c r="D493" i="1"/>
  <c r="C493" i="1"/>
  <c r="U483" i="1"/>
  <c r="L483" i="1"/>
  <c r="D483" i="1"/>
  <c r="C483" i="1"/>
  <c r="L479" i="1"/>
  <c r="D479" i="1"/>
  <c r="C479" i="1"/>
  <c r="L471" i="1"/>
  <c r="D471" i="1"/>
  <c r="C471" i="1"/>
  <c r="L457" i="1"/>
  <c r="D457" i="1"/>
  <c r="C457" i="1"/>
  <c r="L445" i="1"/>
  <c r="D445" i="1"/>
  <c r="C445" i="1"/>
  <c r="L440" i="1"/>
  <c r="D440" i="1"/>
  <c r="C440" i="1"/>
  <c r="L417" i="1"/>
  <c r="D417" i="1"/>
  <c r="C417" i="1"/>
  <c r="L413" i="1"/>
  <c r="D413" i="1"/>
  <c r="C413" i="1"/>
  <c r="L410" i="1"/>
  <c r="D410" i="1"/>
  <c r="C410" i="1"/>
  <c r="L503" i="1"/>
  <c r="D503" i="1"/>
  <c r="C503" i="1"/>
  <c r="L499" i="1"/>
  <c r="D499" i="1"/>
  <c r="C499" i="1"/>
  <c r="L489" i="1"/>
  <c r="D489" i="1"/>
  <c r="C489" i="1"/>
  <c r="L478" i="1"/>
  <c r="D478" i="1"/>
  <c r="C478" i="1"/>
  <c r="L502" i="1"/>
  <c r="D502" i="1"/>
  <c r="C502" i="1"/>
  <c r="L449" i="1"/>
  <c r="D449" i="1"/>
  <c r="C449" i="1"/>
  <c r="L439" i="1"/>
  <c r="D439" i="1"/>
  <c r="C439" i="1"/>
  <c r="U422" i="1"/>
  <c r="L422" i="1"/>
  <c r="D422" i="1"/>
  <c r="C422" i="1"/>
  <c r="L409" i="1"/>
  <c r="D409" i="1"/>
  <c r="C409" i="1"/>
  <c r="L385" i="1"/>
  <c r="D385" i="1"/>
  <c r="C385" i="1"/>
  <c r="L396" i="1"/>
  <c r="D396" i="1"/>
  <c r="C396" i="1"/>
  <c r="U444" i="1"/>
  <c r="L444" i="1"/>
  <c r="D444" i="1"/>
  <c r="C444" i="1"/>
  <c r="L464" i="1"/>
  <c r="D464" i="1"/>
  <c r="C464" i="1"/>
  <c r="L448" i="1"/>
  <c r="D448" i="1"/>
  <c r="C448" i="1"/>
  <c r="L395" i="1"/>
  <c r="D395" i="1"/>
  <c r="C395" i="1"/>
  <c r="U421" i="1"/>
  <c r="L421" i="1"/>
  <c r="D421" i="1"/>
  <c r="C421" i="1"/>
  <c r="L400" i="1"/>
  <c r="D400" i="1"/>
  <c r="C400" i="1"/>
  <c r="L394" i="1"/>
  <c r="D394" i="1"/>
  <c r="C394" i="1"/>
  <c r="L393" i="1"/>
  <c r="D393" i="1"/>
  <c r="C393" i="1"/>
  <c r="U390" i="1"/>
  <c r="L390" i="1"/>
  <c r="D390" i="1"/>
  <c r="C390" i="1"/>
  <c r="L399" i="1"/>
  <c r="D399" i="1"/>
  <c r="C399" i="1"/>
  <c r="L402" i="1"/>
  <c r="D402" i="1"/>
  <c r="C402" i="1"/>
  <c r="L470" i="1"/>
  <c r="D470" i="1"/>
  <c r="C470" i="1"/>
  <c r="L456" i="1"/>
  <c r="D456" i="1"/>
  <c r="C456" i="1"/>
  <c r="L443" i="1"/>
  <c r="D443" i="1"/>
  <c r="C443" i="1"/>
  <c r="L438" i="1"/>
  <c r="D438" i="1"/>
  <c r="C438" i="1"/>
  <c r="L391" i="1"/>
  <c r="D391" i="1"/>
  <c r="C391" i="1"/>
  <c r="U420" i="1"/>
  <c r="L420" i="1"/>
  <c r="D420" i="1"/>
  <c r="C420" i="1"/>
  <c r="L437" i="1"/>
  <c r="D437" i="1"/>
  <c r="C437" i="1"/>
  <c r="L455" i="1"/>
  <c r="D455" i="1"/>
  <c r="C455" i="1"/>
  <c r="L463" i="1"/>
  <c r="D463" i="1"/>
  <c r="C463" i="1"/>
  <c r="U404" i="1"/>
  <c r="L404" i="1"/>
  <c r="D404" i="1"/>
  <c r="C404" i="1"/>
  <c r="L401" i="1"/>
  <c r="D401" i="1"/>
  <c r="C401" i="1"/>
  <c r="L392" i="1"/>
  <c r="D392" i="1"/>
  <c r="C392" i="1"/>
  <c r="L388" i="1"/>
  <c r="D388" i="1"/>
  <c r="C388" i="1"/>
  <c r="U419" i="1"/>
  <c r="L419" i="1"/>
  <c r="D419" i="1"/>
  <c r="C419" i="1"/>
  <c r="L387" i="1"/>
  <c r="D387" i="1"/>
  <c r="C387" i="1"/>
  <c r="L389" i="1"/>
  <c r="D389" i="1"/>
  <c r="C389" i="1"/>
  <c r="L386" i="1"/>
  <c r="D386" i="1"/>
  <c r="C386" i="1"/>
  <c r="L469" i="1"/>
  <c r="D469" i="1"/>
  <c r="C469" i="1"/>
  <c r="L496" i="1"/>
  <c r="D496" i="1"/>
  <c r="C496" i="1"/>
  <c r="L408" i="1"/>
  <c r="D408" i="1"/>
  <c r="C408" i="1"/>
  <c r="L397" i="1"/>
  <c r="D397" i="1"/>
  <c r="C397" i="1"/>
  <c r="U398" i="1"/>
  <c r="L398" i="1"/>
  <c r="D398" i="1"/>
  <c r="C398" i="1"/>
  <c r="L403" i="1"/>
  <c r="D403" i="1"/>
  <c r="C403" i="1"/>
  <c r="L432" i="1"/>
  <c r="D432" i="1"/>
  <c r="C432" i="1"/>
  <c r="L407" i="1"/>
  <c r="D407" i="1"/>
  <c r="C407" i="1"/>
  <c r="U412" i="1"/>
  <c r="L412" i="1"/>
  <c r="D412" i="1"/>
  <c r="C412" i="1"/>
  <c r="L418" i="1"/>
  <c r="D418" i="1"/>
  <c r="C418" i="1"/>
  <c r="L425" i="1"/>
  <c r="D425" i="1"/>
  <c r="C425" i="1"/>
  <c r="L424" i="1"/>
  <c r="D424" i="1"/>
  <c r="C424" i="1"/>
  <c r="U436" i="1"/>
  <c r="L436" i="1"/>
  <c r="D436" i="1"/>
  <c r="C436" i="1"/>
  <c r="L442" i="1"/>
  <c r="D442" i="1"/>
  <c r="C442" i="1"/>
  <c r="L447" i="1"/>
  <c r="D447" i="1"/>
  <c r="C447" i="1"/>
  <c r="L454" i="1"/>
  <c r="D454" i="1"/>
  <c r="C454" i="1"/>
  <c r="U453" i="1"/>
  <c r="L453" i="1"/>
  <c r="D453" i="1"/>
  <c r="C453" i="1"/>
  <c r="U462" i="1"/>
  <c r="L462" i="1"/>
  <c r="D462" i="1"/>
  <c r="C462" i="1"/>
  <c r="L473" i="1"/>
  <c r="D473" i="1"/>
  <c r="C473" i="1"/>
  <c r="L477" i="1"/>
  <c r="D477" i="1"/>
  <c r="C477" i="1"/>
  <c r="L476" i="1"/>
  <c r="D476" i="1"/>
  <c r="C476" i="1"/>
  <c r="U475" i="1"/>
  <c r="L475" i="1"/>
  <c r="D475" i="1"/>
  <c r="C475" i="1"/>
  <c r="L482" i="1"/>
  <c r="D482" i="1"/>
  <c r="C482" i="1"/>
  <c r="L487" i="1"/>
  <c r="D487" i="1"/>
  <c r="C487" i="1"/>
  <c r="L492" i="1"/>
  <c r="D492" i="1"/>
  <c r="C492" i="1"/>
  <c r="L498" i="1"/>
  <c r="D498" i="1"/>
  <c r="C498" i="1"/>
  <c r="L501" i="1"/>
  <c r="D501" i="1"/>
  <c r="C501" i="1"/>
  <c r="L505" i="1"/>
  <c r="D505" i="1"/>
  <c r="C505" i="1"/>
  <c r="U514" i="1"/>
  <c r="L514" i="1"/>
  <c r="D514" i="1"/>
  <c r="C514" i="1"/>
  <c r="L513" i="1"/>
  <c r="D513" i="1"/>
  <c r="C513" i="1"/>
  <c r="L512" i="1"/>
  <c r="D512" i="1"/>
  <c r="C512" i="1"/>
  <c r="L511" i="1"/>
  <c r="D511" i="1"/>
  <c r="C511" i="1"/>
  <c r="U506" i="1"/>
  <c r="L506" i="1"/>
  <c r="D506" i="1"/>
  <c r="C506" i="1"/>
  <c r="L504" i="1"/>
  <c r="D504" i="1"/>
  <c r="C504" i="1"/>
  <c r="L495" i="1"/>
  <c r="D495" i="1"/>
  <c r="C495" i="1"/>
  <c r="L494" i="1"/>
  <c r="D494" i="1"/>
  <c r="C494" i="1"/>
  <c r="U488" i="1"/>
  <c r="L488" i="1"/>
  <c r="D488" i="1"/>
  <c r="C488" i="1"/>
  <c r="L486" i="1"/>
  <c r="D486" i="1"/>
  <c r="C486" i="1"/>
  <c r="L485" i="1"/>
  <c r="D485" i="1"/>
  <c r="C485" i="1"/>
  <c r="L484" i="1"/>
  <c r="D484" i="1"/>
  <c r="C484" i="1"/>
  <c r="L474" i="1"/>
  <c r="D474" i="1"/>
  <c r="C474" i="1"/>
  <c r="L472" i="1"/>
  <c r="D472" i="1"/>
  <c r="C472" i="1"/>
  <c r="L468" i="1"/>
  <c r="D468" i="1"/>
  <c r="C468" i="1"/>
  <c r="L461" i="1"/>
  <c r="D461" i="1"/>
  <c r="C461" i="1"/>
  <c r="L460" i="1"/>
  <c r="D460" i="1"/>
  <c r="C460" i="1"/>
  <c r="U452" i="1"/>
  <c r="L452" i="1"/>
  <c r="D452" i="1"/>
  <c r="C452" i="1"/>
  <c r="L451" i="1"/>
  <c r="D451" i="1"/>
  <c r="C451" i="1"/>
  <c r="L446" i="1"/>
  <c r="D446" i="1"/>
  <c r="C446" i="1"/>
  <c r="U441" i="1"/>
  <c r="L441" i="1"/>
  <c r="D441" i="1"/>
  <c r="C441" i="1"/>
  <c r="L435" i="1"/>
  <c r="D435" i="1"/>
  <c r="C435" i="1"/>
  <c r="L431" i="1"/>
  <c r="D431" i="1"/>
  <c r="C431" i="1"/>
  <c r="L429" i="1"/>
  <c r="D429" i="1"/>
  <c r="C429" i="1"/>
  <c r="L428" i="1"/>
  <c r="D428" i="1"/>
  <c r="C428" i="1"/>
  <c r="U423" i="1"/>
  <c r="L423" i="1"/>
  <c r="D423" i="1"/>
  <c r="C423" i="1"/>
  <c r="L416" i="1"/>
  <c r="D416" i="1"/>
  <c r="C416" i="1"/>
  <c r="L415" i="1"/>
  <c r="D415" i="1"/>
  <c r="C415" i="1"/>
  <c r="U406" i="1"/>
  <c r="L406" i="1"/>
  <c r="D406" i="1"/>
  <c r="C406" i="1"/>
  <c r="U405" i="1"/>
  <c r="L405" i="1"/>
  <c r="D405" i="1"/>
  <c r="C405" i="1"/>
  <c r="U430" i="1"/>
  <c r="L430" i="1"/>
  <c r="D430" i="1"/>
  <c r="C430" i="1"/>
  <c r="C467" i="1"/>
  <c r="D467" i="1"/>
  <c r="U484" i="1" l="1"/>
  <c r="U505" i="1"/>
  <c r="U397" i="1"/>
  <c r="U429" i="1"/>
  <c r="U487" i="1"/>
  <c r="U386" i="1"/>
  <c r="U391" i="1"/>
  <c r="U415" i="1"/>
  <c r="U511" i="1"/>
  <c r="U470" i="1"/>
  <c r="U439" i="1"/>
  <c r="G475" i="1"/>
  <c r="I14" i="5"/>
  <c r="I15" i="5" s="1"/>
  <c r="U435" i="1"/>
  <c r="U443" i="1"/>
  <c r="U442" i="1"/>
  <c r="U437" i="1"/>
  <c r="U464" i="1"/>
  <c r="U502" i="1"/>
  <c r="G413" i="1"/>
  <c r="X467" i="1"/>
  <c r="U399" i="1"/>
  <c r="U409" i="1"/>
  <c r="U503" i="1"/>
  <c r="U440" i="1"/>
  <c r="L9" i="5"/>
  <c r="M10" i="5" s="1"/>
  <c r="K13" i="5"/>
  <c r="K14" i="5" s="1"/>
  <c r="L14" i="5" s="1"/>
  <c r="G18" i="5" s="1"/>
  <c r="G19" i="5" s="1"/>
  <c r="U479" i="1"/>
  <c r="G445" i="1"/>
  <c r="U478" i="1"/>
  <c r="U400" i="1"/>
  <c r="U456" i="1"/>
  <c r="U469" i="1"/>
  <c r="G496" i="1"/>
  <c r="U418" i="1"/>
  <c r="U424" i="1"/>
  <c r="U454" i="1"/>
  <c r="U438" i="1"/>
  <c r="U473" i="1"/>
  <c r="U407" i="1"/>
  <c r="G398" i="1"/>
  <c r="U463" i="1"/>
  <c r="G443" i="1"/>
  <c r="G433" i="1"/>
  <c r="G490" i="1"/>
  <c r="G458" i="1"/>
  <c r="U393" i="1"/>
  <c r="U457" i="1"/>
  <c r="U388" i="1"/>
  <c r="G456" i="1"/>
  <c r="U395" i="1"/>
  <c r="G422" i="1"/>
  <c r="U410" i="1"/>
  <c r="U413" i="1"/>
  <c r="G434" i="1"/>
  <c r="G466" i="1"/>
  <c r="G509" i="1"/>
  <c r="G388" i="1"/>
  <c r="G392" i="1"/>
  <c r="U489" i="1"/>
  <c r="U493" i="1"/>
  <c r="U396" i="1"/>
  <c r="G483" i="1"/>
  <c r="G508" i="1"/>
  <c r="G430" i="1"/>
  <c r="G405" i="1"/>
  <c r="G481" i="1"/>
  <c r="G427" i="1"/>
  <c r="G450" i="1"/>
  <c r="G461" i="1"/>
  <c r="G504" i="1"/>
  <c r="G474" i="1"/>
  <c r="G418" i="1"/>
  <c r="G403" i="1"/>
  <c r="G387" i="1"/>
  <c r="G437" i="1"/>
  <c r="G410" i="1"/>
  <c r="X496" i="1"/>
  <c r="X401" i="1"/>
  <c r="G515" i="1"/>
  <c r="G426" i="1"/>
  <c r="G411" i="1"/>
  <c r="G423" i="1"/>
  <c r="G446" i="1"/>
  <c r="G468" i="1"/>
  <c r="G486" i="1"/>
  <c r="G488" i="1"/>
  <c r="G513" i="1"/>
  <c r="G442" i="1"/>
  <c r="G424" i="1"/>
  <c r="G425" i="1"/>
  <c r="G465" i="1"/>
  <c r="G414" i="1"/>
  <c r="G459" i="1"/>
  <c r="G491" i="1"/>
  <c r="G510" i="1"/>
  <c r="G462" i="1"/>
  <c r="X403" i="1"/>
  <c r="X387" i="1"/>
  <c r="G444" i="1"/>
  <c r="G480" i="1"/>
  <c r="G500" i="1"/>
  <c r="U477" i="1"/>
  <c r="U476" i="1"/>
  <c r="U492" i="1"/>
  <c r="X498" i="1"/>
  <c r="X513" i="1"/>
  <c r="X504" i="1"/>
  <c r="U494" i="1"/>
  <c r="X486" i="1"/>
  <c r="U474" i="1"/>
  <c r="U472" i="1"/>
  <c r="X461" i="1"/>
  <c r="U460" i="1"/>
  <c r="G452" i="1"/>
  <c r="X446" i="1"/>
  <c r="U428" i="1"/>
  <c r="G428" i="1"/>
  <c r="U416" i="1"/>
  <c r="G472" i="1"/>
  <c r="G505" i="1"/>
  <c r="G501" i="1"/>
  <c r="G453" i="1"/>
  <c r="G469" i="1"/>
  <c r="G401" i="1"/>
  <c r="G404" i="1"/>
  <c r="G420" i="1"/>
  <c r="G390" i="1"/>
  <c r="G478" i="1"/>
  <c r="U445" i="1"/>
  <c r="X431" i="1"/>
  <c r="X451" i="1"/>
  <c r="X468" i="1"/>
  <c r="X485" i="1"/>
  <c r="X495" i="1"/>
  <c r="X512" i="1"/>
  <c r="X501" i="1"/>
  <c r="X482" i="1"/>
  <c r="X447" i="1"/>
  <c r="X425" i="1"/>
  <c r="X432" i="1"/>
  <c r="X408" i="1"/>
  <c r="X389" i="1"/>
  <c r="X392" i="1"/>
  <c r="X455" i="1"/>
  <c r="X402" i="1"/>
  <c r="X394" i="1"/>
  <c r="X448" i="1"/>
  <c r="X385" i="1"/>
  <c r="X449" i="1"/>
  <c r="X499" i="1"/>
  <c r="X417" i="1"/>
  <c r="X471" i="1"/>
  <c r="X497" i="1"/>
  <c r="G467" i="1"/>
  <c r="G412" i="1"/>
  <c r="G406" i="1"/>
  <c r="G435" i="1"/>
  <c r="G506" i="1"/>
  <c r="G498" i="1"/>
  <c r="G492" i="1"/>
  <c r="G476" i="1"/>
  <c r="G421" i="1"/>
  <c r="G451" i="1"/>
  <c r="G511" i="1"/>
  <c r="G512" i="1"/>
  <c r="G454" i="1"/>
  <c r="G447" i="1"/>
  <c r="G386" i="1"/>
  <c r="G389" i="1"/>
  <c r="G470" i="1"/>
  <c r="G402" i="1"/>
  <c r="G399" i="1"/>
  <c r="G393" i="1"/>
  <c r="G394" i="1"/>
  <c r="G400" i="1"/>
  <c r="G395" i="1"/>
  <c r="G448" i="1"/>
  <c r="G464" i="1"/>
  <c r="G396" i="1"/>
  <c r="G385" i="1"/>
  <c r="G409" i="1"/>
  <c r="G439" i="1"/>
  <c r="G449" i="1"/>
  <c r="G502" i="1"/>
  <c r="G489" i="1"/>
  <c r="G499" i="1"/>
  <c r="G503" i="1"/>
  <c r="G417" i="1"/>
  <c r="G440" i="1"/>
  <c r="G457" i="1"/>
  <c r="G471" i="1"/>
  <c r="G479" i="1"/>
  <c r="G493" i="1"/>
  <c r="G497" i="1"/>
  <c r="G507" i="1"/>
  <c r="G441" i="1"/>
  <c r="G415" i="1"/>
  <c r="G416" i="1"/>
  <c r="G460" i="1"/>
  <c r="G484" i="1"/>
  <c r="G485" i="1"/>
  <c r="G514" i="1"/>
  <c r="G487" i="1"/>
  <c r="G482" i="1"/>
  <c r="G436" i="1"/>
  <c r="G407" i="1"/>
  <c r="G432" i="1"/>
  <c r="G419" i="1"/>
  <c r="G463" i="1"/>
  <c r="G455" i="1"/>
  <c r="G429" i="1"/>
  <c r="G431" i="1"/>
  <c r="G494" i="1"/>
  <c r="G495" i="1"/>
  <c r="G477" i="1"/>
  <c r="G473" i="1"/>
  <c r="G397" i="1"/>
  <c r="G408" i="1"/>
  <c r="G391" i="1"/>
  <c r="G438" i="1"/>
  <c r="O81" i="2"/>
  <c r="V81" i="2"/>
  <c r="O82" i="2"/>
  <c r="V82" i="2"/>
  <c r="O83" i="2"/>
  <c r="V83" i="2"/>
  <c r="O84" i="2"/>
  <c r="V84" i="2"/>
  <c r="O85" i="2"/>
  <c r="V85" i="2"/>
  <c r="O86" i="2"/>
  <c r="V86" i="2"/>
  <c r="O87" i="2"/>
  <c r="V87" i="2"/>
  <c r="O88" i="2"/>
  <c r="V88" i="2"/>
  <c r="O89" i="2"/>
  <c r="V89" i="2"/>
  <c r="O90" i="2"/>
  <c r="V90" i="2"/>
  <c r="O91" i="2"/>
  <c r="V91" i="2"/>
  <c r="O92" i="2"/>
  <c r="V92" i="2"/>
  <c r="O93" i="2"/>
  <c r="V93" i="2"/>
  <c r="O94" i="2"/>
  <c r="V94" i="2"/>
  <c r="O95" i="2"/>
  <c r="V95" i="2"/>
  <c r="O96" i="2"/>
  <c r="V96" i="2"/>
  <c r="O97" i="2"/>
  <c r="V97" i="2"/>
  <c r="O98" i="2"/>
  <c r="V98" i="2"/>
  <c r="O99" i="2"/>
  <c r="V99" i="2"/>
  <c r="O100" i="2"/>
  <c r="V100" i="2"/>
  <c r="O101" i="2"/>
  <c r="V101" i="2"/>
  <c r="O102" i="2"/>
  <c r="V102" i="2"/>
  <c r="O103" i="2"/>
  <c r="V103" i="2"/>
  <c r="O104" i="2"/>
  <c r="V104" i="2"/>
  <c r="O105" i="2"/>
  <c r="V105" i="2"/>
  <c r="O106" i="2"/>
  <c r="V106" i="2"/>
  <c r="O107" i="2"/>
  <c r="V107" i="2"/>
  <c r="O108" i="2"/>
  <c r="V108" i="2"/>
  <c r="O109" i="2"/>
  <c r="V109" i="2"/>
  <c r="O110" i="2"/>
  <c r="V110" i="2"/>
  <c r="O111" i="2"/>
  <c r="V111" i="2"/>
  <c r="O112" i="2"/>
  <c r="V112" i="2"/>
  <c r="O113" i="2"/>
  <c r="V113" i="2"/>
  <c r="O114" i="2"/>
  <c r="V114" i="2"/>
  <c r="O115" i="2"/>
  <c r="V115" i="2"/>
  <c r="O116" i="2"/>
  <c r="V116" i="2"/>
  <c r="O117" i="2"/>
  <c r="V117" i="2"/>
  <c r="O118" i="2"/>
  <c r="V118" i="2"/>
  <c r="O119" i="2"/>
  <c r="V119" i="2"/>
  <c r="O120" i="2"/>
  <c r="V120" i="2"/>
  <c r="O121" i="2"/>
  <c r="V121" i="2"/>
  <c r="O122" i="2"/>
  <c r="V122" i="2"/>
  <c r="O123" i="2"/>
  <c r="V123" i="2"/>
  <c r="O124" i="2"/>
  <c r="V124" i="2"/>
  <c r="H18" i="5" l="1"/>
  <c r="J18" i="5" s="1"/>
  <c r="L16" i="5" s="1"/>
  <c r="U315" i="1"/>
  <c r="L315" i="1"/>
  <c r="D315" i="1"/>
  <c r="C315" i="1"/>
  <c r="X379" i="1"/>
  <c r="L379" i="1"/>
  <c r="D379" i="1"/>
  <c r="C379" i="1"/>
  <c r="X335" i="1"/>
  <c r="L335" i="1"/>
  <c r="D335" i="1"/>
  <c r="C335" i="1"/>
  <c r="X269" i="1"/>
  <c r="L269" i="1"/>
  <c r="D269" i="1"/>
  <c r="C269" i="1"/>
  <c r="U268" i="1"/>
  <c r="L268" i="1"/>
  <c r="D268" i="1"/>
  <c r="C268" i="1"/>
  <c r="X384" i="1"/>
  <c r="L384" i="1"/>
  <c r="D384" i="1"/>
  <c r="C384" i="1"/>
  <c r="X304" i="1"/>
  <c r="L304" i="1"/>
  <c r="D304" i="1"/>
  <c r="C304" i="1"/>
  <c r="U284" i="1"/>
  <c r="L284" i="1"/>
  <c r="D284" i="1"/>
  <c r="C284" i="1"/>
  <c r="M244" i="1"/>
  <c r="M265" i="1"/>
  <c r="M272" i="1"/>
  <c r="M295" i="1"/>
  <c r="M246" i="1"/>
  <c r="M260" i="1"/>
  <c r="M247" i="1"/>
  <c r="M248" i="1"/>
  <c r="X315" i="1" l="1"/>
  <c r="G304" i="1"/>
  <c r="G384" i="1"/>
  <c r="G269" i="1"/>
  <c r="G335" i="1"/>
  <c r="G379" i="1"/>
  <c r="G315" i="1"/>
  <c r="G284" i="1"/>
  <c r="X284" i="1"/>
  <c r="U269" i="1"/>
  <c r="X268" i="1"/>
  <c r="G268" i="1"/>
  <c r="U379" i="1"/>
  <c r="U384" i="1"/>
  <c r="U304" i="1"/>
  <c r="U335" i="1"/>
  <c r="M264" i="1" l="1"/>
  <c r="M263" i="1"/>
  <c r="M262" i="1"/>
  <c r="M275" i="1"/>
  <c r="M285" i="1"/>
  <c r="M291" i="1"/>
  <c r="M298" i="1"/>
  <c r="M306" i="1"/>
  <c r="M323" i="1"/>
  <c r="M332" i="1"/>
  <c r="M331" i="1"/>
  <c r="M343" i="1"/>
  <c r="M353" i="1"/>
  <c r="M359" i="1"/>
  <c r="M368" i="1"/>
  <c r="M367" i="1"/>
  <c r="M366" i="1"/>
  <c r="M376" i="1"/>
  <c r="M375" i="1"/>
  <c r="M381" i="1"/>
  <c r="M380" i="1"/>
  <c r="M373" i="1"/>
  <c r="M372" i="1"/>
  <c r="M370" i="1"/>
  <c r="M365" i="1"/>
  <c r="M364" i="1"/>
  <c r="M362" i="1"/>
  <c r="M358" i="1"/>
  <c r="M355" i="1"/>
  <c r="M352" i="1"/>
  <c r="M351" i="1"/>
  <c r="M346" i="1"/>
  <c r="M342" i="1"/>
  <c r="M336" i="1"/>
  <c r="M330" i="1"/>
  <c r="M329" i="1"/>
  <c r="M326" i="1"/>
  <c r="M322" i="1"/>
  <c r="M317" i="1"/>
  <c r="M316" i="1"/>
  <c r="M305" i="1"/>
  <c r="M297" i="1"/>
  <c r="M296" i="1"/>
  <c r="M294" i="1"/>
  <c r="M290" i="1"/>
  <c r="M289" i="1"/>
  <c r="M288" i="1"/>
  <c r="M280" i="1"/>
  <c r="M279" i="1"/>
  <c r="M270" i="1"/>
  <c r="M261" i="1"/>
  <c r="M258" i="1"/>
  <c r="M257" i="1"/>
  <c r="L383" i="1"/>
  <c r="L378" i="1"/>
  <c r="L361" i="1"/>
  <c r="L357" i="1"/>
  <c r="L334" i="1"/>
  <c r="L325" i="1"/>
  <c r="L314" i="1"/>
  <c r="L293" i="1"/>
  <c r="L274" i="1"/>
  <c r="L374" i="1"/>
  <c r="L363" i="1"/>
  <c r="L354" i="1"/>
  <c r="L341" i="1"/>
  <c r="L324" i="1"/>
  <c r="L303" i="1"/>
  <c r="L287" i="1"/>
  <c r="L273" i="1"/>
  <c r="L377" i="1"/>
  <c r="L371" i="1"/>
  <c r="L369" i="1"/>
  <c r="L356" i="1"/>
  <c r="L350" i="1"/>
  <c r="L340" i="1"/>
  <c r="L328" i="1"/>
  <c r="L321" i="1"/>
  <c r="L302" i="1"/>
  <c r="L292" i="1"/>
  <c r="L283" i="1"/>
  <c r="L278" i="1"/>
  <c r="L267" i="1"/>
  <c r="L382" i="1"/>
  <c r="L360" i="1"/>
  <c r="L333" i="1"/>
  <c r="L301" i="1"/>
  <c r="L266" i="1"/>
  <c r="L339" i="1"/>
  <c r="L320" i="1"/>
  <c r="L338" i="1"/>
  <c r="L313" i="1"/>
  <c r="L312" i="1"/>
  <c r="L286" i="1"/>
  <c r="L300" i="1"/>
  <c r="L311" i="1"/>
  <c r="L282" i="1"/>
  <c r="L345" i="1"/>
  <c r="L250" i="1"/>
  <c r="L310" i="1"/>
  <c r="L309" i="1"/>
  <c r="L244" i="1"/>
  <c r="L252" i="1"/>
  <c r="L277" i="1"/>
  <c r="L276" i="1"/>
  <c r="L265" i="1"/>
  <c r="L272" i="1"/>
  <c r="L295" i="1"/>
  <c r="L246" i="1"/>
  <c r="L260" i="1"/>
  <c r="L249" i="1"/>
  <c r="L247" i="1"/>
  <c r="L248" i="1"/>
  <c r="L259" i="1"/>
  <c r="L327" i="1"/>
  <c r="L256" i="1"/>
  <c r="L299" i="1"/>
  <c r="L281" i="1"/>
  <c r="L271" i="1"/>
  <c r="L337" i="1"/>
  <c r="L308" i="1"/>
  <c r="L319" i="1"/>
  <c r="L307" i="1"/>
  <c r="L344" i="1"/>
  <c r="L245" i="1"/>
  <c r="L251" i="1"/>
  <c r="L318" i="1"/>
  <c r="L253" i="1"/>
  <c r="L349" i="1"/>
  <c r="L348" i="1"/>
  <c r="L255" i="1"/>
  <c r="L254" i="1"/>
  <c r="L264" i="1"/>
  <c r="L263" i="1"/>
  <c r="L262" i="1"/>
  <c r="L275" i="1"/>
  <c r="L285" i="1"/>
  <c r="L291" i="1"/>
  <c r="L298" i="1"/>
  <c r="L306" i="1"/>
  <c r="L323" i="1"/>
  <c r="L332" i="1"/>
  <c r="L331" i="1"/>
  <c r="L343" i="1"/>
  <c r="L353" i="1"/>
  <c r="L359" i="1"/>
  <c r="L368" i="1"/>
  <c r="L367" i="1"/>
  <c r="L366" i="1"/>
  <c r="L376" i="1"/>
  <c r="L375" i="1"/>
  <c r="L381" i="1"/>
  <c r="L380" i="1"/>
  <c r="L373" i="1"/>
  <c r="L372" i="1"/>
  <c r="L370" i="1"/>
  <c r="L365" i="1"/>
  <c r="L364" i="1"/>
  <c r="L362" i="1"/>
  <c r="L358" i="1"/>
  <c r="L355" i="1"/>
  <c r="L352" i="1"/>
  <c r="L351" i="1"/>
  <c r="L347" i="1"/>
  <c r="L346" i="1"/>
  <c r="L342" i="1"/>
  <c r="L336" i="1"/>
  <c r="L330" i="1"/>
  <c r="L329" i="1"/>
  <c r="L326" i="1"/>
  <c r="L322" i="1"/>
  <c r="L317" i="1"/>
  <c r="L316" i="1"/>
  <c r="L305" i="1"/>
  <c r="L297" i="1"/>
  <c r="L296" i="1"/>
  <c r="L294" i="1"/>
  <c r="L290" i="1"/>
  <c r="L289" i="1"/>
  <c r="L288" i="1"/>
  <c r="L280" i="1"/>
  <c r="L279" i="1"/>
  <c r="L270" i="1"/>
  <c r="L261" i="1"/>
  <c r="L258" i="1"/>
  <c r="L257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243" i="1"/>
  <c r="X383" i="1"/>
  <c r="D383" i="1"/>
  <c r="C383" i="1"/>
  <c r="U378" i="1"/>
  <c r="D378" i="1"/>
  <c r="C378" i="1"/>
  <c r="U361" i="1"/>
  <c r="D361" i="1"/>
  <c r="C361" i="1"/>
  <c r="U357" i="1"/>
  <c r="D357" i="1"/>
  <c r="C357" i="1"/>
  <c r="X334" i="1"/>
  <c r="D334" i="1"/>
  <c r="C334" i="1"/>
  <c r="U325" i="1"/>
  <c r="D325" i="1"/>
  <c r="C325" i="1"/>
  <c r="X314" i="1"/>
  <c r="D314" i="1"/>
  <c r="C314" i="1"/>
  <c r="X293" i="1"/>
  <c r="D293" i="1"/>
  <c r="C293" i="1"/>
  <c r="X274" i="1"/>
  <c r="D274" i="1"/>
  <c r="C274" i="1"/>
  <c r="U374" i="1"/>
  <c r="D374" i="1"/>
  <c r="C374" i="1"/>
  <c r="U363" i="1"/>
  <c r="D363" i="1"/>
  <c r="C363" i="1"/>
  <c r="X354" i="1"/>
  <c r="D354" i="1"/>
  <c r="C354" i="1"/>
  <c r="X341" i="1"/>
  <c r="D341" i="1"/>
  <c r="C341" i="1"/>
  <c r="D324" i="1"/>
  <c r="C324" i="1"/>
  <c r="X303" i="1"/>
  <c r="D303" i="1"/>
  <c r="C303" i="1"/>
  <c r="U287" i="1"/>
  <c r="D287" i="1"/>
  <c r="C287" i="1"/>
  <c r="X273" i="1"/>
  <c r="D273" i="1"/>
  <c r="C273" i="1"/>
  <c r="D377" i="1"/>
  <c r="C377" i="1"/>
  <c r="X371" i="1"/>
  <c r="D371" i="1"/>
  <c r="C371" i="1"/>
  <c r="X369" i="1"/>
  <c r="D369" i="1"/>
  <c r="C369" i="1"/>
  <c r="X356" i="1"/>
  <c r="D356" i="1"/>
  <c r="C356" i="1"/>
  <c r="D350" i="1"/>
  <c r="C350" i="1"/>
  <c r="U340" i="1"/>
  <c r="X328" i="1"/>
  <c r="X321" i="1"/>
  <c r="U292" i="1"/>
  <c r="X283" i="1"/>
  <c r="X278" i="1"/>
  <c r="X267" i="1"/>
  <c r="U382" i="1"/>
  <c r="U360" i="1"/>
  <c r="X333" i="1"/>
  <c r="X301" i="1"/>
  <c r="U266" i="1"/>
  <c r="X339" i="1"/>
  <c r="U320" i="1"/>
  <c r="X338" i="1"/>
  <c r="U313" i="1"/>
  <c r="X312" i="1"/>
  <c r="X286" i="1"/>
  <c r="U311" i="1"/>
  <c r="X282" i="1"/>
  <c r="X345" i="1"/>
  <c r="X250" i="1"/>
  <c r="U310" i="1"/>
  <c r="X309" i="1"/>
  <c r="X244" i="1"/>
  <c r="X252" i="1"/>
  <c r="U277" i="1"/>
  <c r="U276" i="1"/>
  <c r="U265" i="1"/>
  <c r="X272" i="1"/>
  <c r="U295" i="1"/>
  <c r="X246" i="1"/>
  <c r="X260" i="1"/>
  <c r="U247" i="1"/>
  <c r="X248" i="1"/>
  <c r="X259" i="1"/>
  <c r="X327" i="1"/>
  <c r="U256" i="1"/>
  <c r="U299" i="1"/>
  <c r="X281" i="1"/>
  <c r="X271" i="1"/>
  <c r="U337" i="1"/>
  <c r="X308" i="1"/>
  <c r="U319" i="1"/>
  <c r="X307" i="1"/>
  <c r="U344" i="1"/>
  <c r="U245" i="1"/>
  <c r="X251" i="1"/>
  <c r="U253" i="1"/>
  <c r="X349" i="1"/>
  <c r="X348" i="1"/>
  <c r="X255" i="1"/>
  <c r="U254" i="1"/>
  <c r="U264" i="1"/>
  <c r="X263" i="1"/>
  <c r="X262" i="1"/>
  <c r="U275" i="1"/>
  <c r="X285" i="1"/>
  <c r="U291" i="1"/>
  <c r="X298" i="1"/>
  <c r="U306" i="1"/>
  <c r="X323" i="1"/>
  <c r="X332" i="1"/>
  <c r="U343" i="1"/>
  <c r="X353" i="1"/>
  <c r="X359" i="1"/>
  <c r="X368" i="1"/>
  <c r="U367" i="1"/>
  <c r="U366" i="1"/>
  <c r="X376" i="1"/>
  <c r="X375" i="1"/>
  <c r="U381" i="1"/>
  <c r="X380" i="1"/>
  <c r="U373" i="1"/>
  <c r="X372" i="1"/>
  <c r="U370" i="1"/>
  <c r="X365" i="1"/>
  <c r="X364" i="1"/>
  <c r="U358" i="1"/>
  <c r="X355" i="1"/>
  <c r="X352" i="1"/>
  <c r="X351" i="1"/>
  <c r="U347" i="1"/>
  <c r="X346" i="1"/>
  <c r="X342" i="1"/>
  <c r="X336" i="1"/>
  <c r="U330" i="1"/>
  <c r="X329" i="1"/>
  <c r="U326" i="1"/>
  <c r="X322" i="1"/>
  <c r="U317" i="1"/>
  <c r="X316" i="1"/>
  <c r="X305" i="1"/>
  <c r="U296" i="1"/>
  <c r="X294" i="1"/>
  <c r="X290" i="1"/>
  <c r="X289" i="1"/>
  <c r="U288" i="1"/>
  <c r="X280" i="1"/>
  <c r="X279" i="1"/>
  <c r="X270" i="1"/>
  <c r="U261" i="1"/>
  <c r="X258" i="1"/>
  <c r="U338" i="1"/>
  <c r="U336" i="1"/>
  <c r="D340" i="1"/>
  <c r="C340" i="1"/>
  <c r="D328" i="1"/>
  <c r="C328" i="1"/>
  <c r="D321" i="1"/>
  <c r="C321" i="1"/>
  <c r="D302" i="1"/>
  <c r="C302" i="1"/>
  <c r="D292" i="1"/>
  <c r="C292" i="1"/>
  <c r="D283" i="1"/>
  <c r="C283" i="1"/>
  <c r="D278" i="1"/>
  <c r="C278" i="1"/>
  <c r="D267" i="1"/>
  <c r="C267" i="1"/>
  <c r="D382" i="1"/>
  <c r="C382" i="1"/>
  <c r="D360" i="1"/>
  <c r="C360" i="1"/>
  <c r="D333" i="1"/>
  <c r="C333" i="1"/>
  <c r="D301" i="1"/>
  <c r="C301" i="1"/>
  <c r="D266" i="1"/>
  <c r="C266" i="1"/>
  <c r="D339" i="1"/>
  <c r="C339" i="1"/>
  <c r="D320" i="1"/>
  <c r="C320" i="1"/>
  <c r="D338" i="1"/>
  <c r="C338" i="1"/>
  <c r="D313" i="1"/>
  <c r="C313" i="1"/>
  <c r="D312" i="1"/>
  <c r="C312" i="1"/>
  <c r="D286" i="1"/>
  <c r="C286" i="1"/>
  <c r="D300" i="1"/>
  <c r="C300" i="1"/>
  <c r="D311" i="1"/>
  <c r="C311" i="1"/>
  <c r="D282" i="1"/>
  <c r="C282" i="1"/>
  <c r="D345" i="1"/>
  <c r="C345" i="1"/>
  <c r="D250" i="1"/>
  <c r="C250" i="1"/>
  <c r="D310" i="1"/>
  <c r="C310" i="1"/>
  <c r="D309" i="1"/>
  <c r="C309" i="1"/>
  <c r="D244" i="1"/>
  <c r="C244" i="1"/>
  <c r="D252" i="1"/>
  <c r="C252" i="1"/>
  <c r="D277" i="1"/>
  <c r="C277" i="1"/>
  <c r="D276" i="1"/>
  <c r="C276" i="1"/>
  <c r="D265" i="1"/>
  <c r="C265" i="1"/>
  <c r="D272" i="1"/>
  <c r="C272" i="1"/>
  <c r="D295" i="1"/>
  <c r="C295" i="1"/>
  <c r="D246" i="1"/>
  <c r="C246" i="1"/>
  <c r="D260" i="1"/>
  <c r="C260" i="1"/>
  <c r="D249" i="1"/>
  <c r="C249" i="1"/>
  <c r="D247" i="1"/>
  <c r="C247" i="1"/>
  <c r="D248" i="1"/>
  <c r="C248" i="1"/>
  <c r="D259" i="1"/>
  <c r="C259" i="1"/>
  <c r="D327" i="1"/>
  <c r="C327" i="1"/>
  <c r="D256" i="1"/>
  <c r="C256" i="1"/>
  <c r="D299" i="1"/>
  <c r="C299" i="1"/>
  <c r="D281" i="1"/>
  <c r="C281" i="1"/>
  <c r="D271" i="1"/>
  <c r="C271" i="1"/>
  <c r="D337" i="1"/>
  <c r="C337" i="1"/>
  <c r="D308" i="1"/>
  <c r="C308" i="1"/>
  <c r="D319" i="1"/>
  <c r="C319" i="1"/>
  <c r="D307" i="1"/>
  <c r="C307" i="1"/>
  <c r="D344" i="1"/>
  <c r="C344" i="1"/>
  <c r="D245" i="1"/>
  <c r="C245" i="1"/>
  <c r="D251" i="1"/>
  <c r="C251" i="1"/>
  <c r="D318" i="1"/>
  <c r="C318" i="1"/>
  <c r="D253" i="1"/>
  <c r="C253" i="1"/>
  <c r="D349" i="1"/>
  <c r="C349" i="1"/>
  <c r="D348" i="1"/>
  <c r="C348" i="1"/>
  <c r="D255" i="1"/>
  <c r="C255" i="1"/>
  <c r="D254" i="1"/>
  <c r="C254" i="1"/>
  <c r="D264" i="1"/>
  <c r="C264" i="1"/>
  <c r="D263" i="1"/>
  <c r="C263" i="1"/>
  <c r="D262" i="1"/>
  <c r="C262" i="1"/>
  <c r="D275" i="1"/>
  <c r="C275" i="1"/>
  <c r="D285" i="1"/>
  <c r="C285" i="1"/>
  <c r="D291" i="1"/>
  <c r="C291" i="1"/>
  <c r="D298" i="1"/>
  <c r="C298" i="1"/>
  <c r="D306" i="1"/>
  <c r="C306" i="1"/>
  <c r="D323" i="1"/>
  <c r="C323" i="1"/>
  <c r="D332" i="1"/>
  <c r="C332" i="1"/>
  <c r="D331" i="1"/>
  <c r="C331" i="1"/>
  <c r="D343" i="1"/>
  <c r="C343" i="1"/>
  <c r="D353" i="1"/>
  <c r="C353" i="1"/>
  <c r="D359" i="1"/>
  <c r="C359" i="1"/>
  <c r="D368" i="1"/>
  <c r="C368" i="1"/>
  <c r="D367" i="1"/>
  <c r="C367" i="1"/>
  <c r="D366" i="1"/>
  <c r="C366" i="1"/>
  <c r="D376" i="1"/>
  <c r="C376" i="1"/>
  <c r="D375" i="1"/>
  <c r="C375" i="1"/>
  <c r="D381" i="1"/>
  <c r="C381" i="1"/>
  <c r="D380" i="1"/>
  <c r="C380" i="1"/>
  <c r="D373" i="1"/>
  <c r="C373" i="1"/>
  <c r="D372" i="1"/>
  <c r="C372" i="1"/>
  <c r="D370" i="1"/>
  <c r="C370" i="1"/>
  <c r="D365" i="1"/>
  <c r="C365" i="1"/>
  <c r="D364" i="1"/>
  <c r="C364" i="1"/>
  <c r="D362" i="1"/>
  <c r="C362" i="1"/>
  <c r="D358" i="1"/>
  <c r="C358" i="1"/>
  <c r="D355" i="1"/>
  <c r="C355" i="1"/>
  <c r="D352" i="1"/>
  <c r="C352" i="1"/>
  <c r="D351" i="1"/>
  <c r="C351" i="1"/>
  <c r="D347" i="1"/>
  <c r="C347" i="1"/>
  <c r="D346" i="1"/>
  <c r="C346" i="1"/>
  <c r="D342" i="1"/>
  <c r="C342" i="1"/>
  <c r="D336" i="1"/>
  <c r="C336" i="1"/>
  <c r="D330" i="1"/>
  <c r="C330" i="1"/>
  <c r="D329" i="1"/>
  <c r="C329" i="1"/>
  <c r="D326" i="1"/>
  <c r="C326" i="1"/>
  <c r="D322" i="1"/>
  <c r="C322" i="1"/>
  <c r="D317" i="1"/>
  <c r="C317" i="1"/>
  <c r="D316" i="1"/>
  <c r="C316" i="1"/>
  <c r="D305" i="1"/>
  <c r="C305" i="1"/>
  <c r="D297" i="1"/>
  <c r="C297" i="1"/>
  <c r="D296" i="1"/>
  <c r="C296" i="1"/>
  <c r="D294" i="1"/>
  <c r="C294" i="1"/>
  <c r="D290" i="1"/>
  <c r="C290" i="1"/>
  <c r="D289" i="1"/>
  <c r="C289" i="1"/>
  <c r="D288" i="1"/>
  <c r="C288" i="1"/>
  <c r="D280" i="1"/>
  <c r="C280" i="1"/>
  <c r="D279" i="1"/>
  <c r="C279" i="1"/>
  <c r="D270" i="1"/>
  <c r="C270" i="1"/>
  <c r="D261" i="1"/>
  <c r="C261" i="1"/>
  <c r="D258" i="1"/>
  <c r="C258" i="1"/>
  <c r="U16" i="4"/>
  <c r="U15" i="4"/>
  <c r="U14" i="4"/>
  <c r="U13" i="4"/>
  <c r="U12" i="4"/>
  <c r="U11" i="4"/>
  <c r="U263" i="1" l="1"/>
  <c r="G288" i="1"/>
  <c r="G370" i="1"/>
  <c r="G367" i="1"/>
  <c r="G306" i="1"/>
  <c r="G254" i="1"/>
  <c r="G247" i="1"/>
  <c r="G295" i="1"/>
  <c r="G313" i="1"/>
  <c r="G292" i="1"/>
  <c r="G321" i="1"/>
  <c r="U251" i="1"/>
  <c r="G363" i="1"/>
  <c r="G361" i="1"/>
  <c r="U355" i="1"/>
  <c r="U352" i="1"/>
  <c r="U290" i="1"/>
  <c r="U316" i="1"/>
  <c r="U359" i="1"/>
  <c r="U278" i="1"/>
  <c r="G324" i="1"/>
  <c r="G245" i="1"/>
  <c r="G312" i="1"/>
  <c r="G328" i="1"/>
  <c r="U368" i="1"/>
  <c r="U345" i="1"/>
  <c r="G325" i="1"/>
  <c r="U308" i="1"/>
  <c r="U262" i="1"/>
  <c r="U327" i="1"/>
  <c r="U329" i="1"/>
  <c r="U364" i="1"/>
  <c r="U332" i="1"/>
  <c r="U348" i="1"/>
  <c r="U286" i="1"/>
  <c r="U283" i="1"/>
  <c r="U258" i="1"/>
  <c r="U380" i="1"/>
  <c r="U285" i="1"/>
  <c r="U349" i="1"/>
  <c r="U260" i="1"/>
  <c r="U312" i="1"/>
  <c r="U321" i="1"/>
  <c r="X326" i="1"/>
  <c r="X265" i="1"/>
  <c r="X245" i="1"/>
  <c r="X360" i="1"/>
  <c r="U309" i="1"/>
  <c r="G263" i="1"/>
  <c r="G281" i="1"/>
  <c r="G244" i="1"/>
  <c r="U294" i="1"/>
  <c r="U346" i="1"/>
  <c r="U365" i="1"/>
  <c r="U248" i="1"/>
  <c r="U282" i="1"/>
  <c r="U339" i="1"/>
  <c r="X264" i="1"/>
  <c r="X299" i="1"/>
  <c r="G341" i="1"/>
  <c r="G383" i="1"/>
  <c r="G298" i="1"/>
  <c r="G285" i="1"/>
  <c r="G264" i="1"/>
  <c r="G349" i="1"/>
  <c r="G308" i="1"/>
  <c r="G271" i="1"/>
  <c r="G299" i="1"/>
  <c r="G327" i="1"/>
  <c r="G246" i="1"/>
  <c r="G252" i="1"/>
  <c r="G309" i="1"/>
  <c r="G250" i="1"/>
  <c r="G339" i="1"/>
  <c r="G283" i="1"/>
  <c r="U372" i="1"/>
  <c r="U307" i="1"/>
  <c r="G374" i="1"/>
  <c r="G378" i="1"/>
  <c r="U289" i="1"/>
  <c r="G314" i="1"/>
  <c r="X357" i="1"/>
  <c r="G357" i="1"/>
  <c r="U334" i="1"/>
  <c r="G334" i="1"/>
  <c r="X325" i="1"/>
  <c r="U293" i="1"/>
  <c r="G274" i="1"/>
  <c r="U354" i="1"/>
  <c r="U303" i="1"/>
  <c r="G377" i="1"/>
  <c r="G356" i="1"/>
  <c r="G350" i="1"/>
  <c r="U328" i="1"/>
  <c r="U267" i="1"/>
  <c r="G267" i="1"/>
  <c r="G382" i="1"/>
  <c r="G333" i="1"/>
  <c r="X320" i="1"/>
  <c r="G338" i="1"/>
  <c r="G286" i="1"/>
  <c r="G282" i="1"/>
  <c r="G310" i="1"/>
  <c r="U244" i="1"/>
  <c r="U252" i="1"/>
  <c r="X276" i="1"/>
  <c r="G276" i="1"/>
  <c r="U246" i="1"/>
  <c r="G248" i="1"/>
  <c r="U259" i="1"/>
  <c r="G259" i="1"/>
  <c r="X319" i="1"/>
  <c r="G307" i="1"/>
  <c r="G344" i="1"/>
  <c r="G253" i="1"/>
  <c r="G255" i="1"/>
  <c r="G262" i="1"/>
  <c r="X291" i="1"/>
  <c r="U323" i="1"/>
  <c r="G323" i="1"/>
  <c r="U353" i="1"/>
  <c r="X366" i="1"/>
  <c r="X373" i="1"/>
  <c r="G347" i="1"/>
  <c r="U342" i="1"/>
  <c r="G317" i="1"/>
  <c r="U305" i="1"/>
  <c r="U280" i="1"/>
  <c r="G258" i="1"/>
  <c r="X253" i="1"/>
  <c r="X247" i="1"/>
  <c r="X292" i="1"/>
  <c r="X297" i="1"/>
  <c r="U297" i="1"/>
  <c r="X362" i="1"/>
  <c r="U362" i="1"/>
  <c r="X331" i="1"/>
  <c r="U331" i="1"/>
  <c r="X249" i="1"/>
  <c r="U249" i="1"/>
  <c r="X302" i="1"/>
  <c r="U302" i="1"/>
  <c r="X296" i="1"/>
  <c r="X358" i="1"/>
  <c r="G348" i="1"/>
  <c r="G260" i="1"/>
  <c r="X343" i="1"/>
  <c r="X311" i="1"/>
  <c r="X318" i="1"/>
  <c r="U318" i="1"/>
  <c r="X300" i="1"/>
  <c r="U300" i="1"/>
  <c r="X288" i="1"/>
  <c r="X347" i="1"/>
  <c r="X367" i="1"/>
  <c r="X254" i="1"/>
  <c r="X256" i="1"/>
  <c r="X310" i="1"/>
  <c r="X382" i="1"/>
  <c r="U371" i="1"/>
  <c r="U324" i="1"/>
  <c r="X324" i="1"/>
  <c r="X363" i="1"/>
  <c r="X374" i="1"/>
  <c r="X361" i="1"/>
  <c r="X378" i="1"/>
  <c r="G251" i="1"/>
  <c r="G278" i="1"/>
  <c r="U270" i="1"/>
  <c r="U322" i="1"/>
  <c r="U375" i="1"/>
  <c r="U298" i="1"/>
  <c r="U271" i="1"/>
  <c r="U272" i="1"/>
  <c r="U301" i="1"/>
  <c r="X261" i="1"/>
  <c r="X330" i="1"/>
  <c r="X381" i="1"/>
  <c r="X275" i="1"/>
  <c r="X337" i="1"/>
  <c r="X277" i="1"/>
  <c r="X266" i="1"/>
  <c r="U377" i="1"/>
  <c r="X377" i="1"/>
  <c r="G293" i="1"/>
  <c r="U314" i="1"/>
  <c r="G279" i="1"/>
  <c r="G305" i="1"/>
  <c r="G342" i="1"/>
  <c r="G364" i="1"/>
  <c r="G376" i="1"/>
  <c r="G256" i="1"/>
  <c r="G272" i="1"/>
  <c r="G345" i="1"/>
  <c r="G311" i="1"/>
  <c r="G301" i="1"/>
  <c r="G360" i="1"/>
  <c r="U279" i="1"/>
  <c r="U351" i="1"/>
  <c r="U376" i="1"/>
  <c r="U255" i="1"/>
  <c r="U281" i="1"/>
  <c r="U250" i="1"/>
  <c r="U333" i="1"/>
  <c r="X317" i="1"/>
  <c r="X370" i="1"/>
  <c r="X306" i="1"/>
  <c r="X344" i="1"/>
  <c r="X295" i="1"/>
  <c r="X313" i="1"/>
  <c r="X340" i="1"/>
  <c r="U350" i="1"/>
  <c r="X350" i="1"/>
  <c r="G273" i="1"/>
  <c r="G280" i="1"/>
  <c r="G289" i="1"/>
  <c r="G294" i="1"/>
  <c r="G316" i="1"/>
  <c r="G322" i="1"/>
  <c r="G329" i="1"/>
  <c r="G346" i="1"/>
  <c r="G351" i="1"/>
  <c r="G355" i="1"/>
  <c r="G365" i="1"/>
  <c r="G372" i="1"/>
  <c r="G380" i="1"/>
  <c r="G366" i="1"/>
  <c r="G368" i="1"/>
  <c r="G353" i="1"/>
  <c r="G291" i="1"/>
  <c r="G275" i="1"/>
  <c r="G318" i="1"/>
  <c r="G319" i="1"/>
  <c r="G337" i="1"/>
  <c r="G249" i="1"/>
  <c r="G265" i="1"/>
  <c r="G277" i="1"/>
  <c r="G300" i="1"/>
  <c r="G320" i="1"/>
  <c r="G266" i="1"/>
  <c r="G302" i="1"/>
  <c r="G369" i="1"/>
  <c r="G371" i="1"/>
  <c r="G287" i="1"/>
  <c r="G303" i="1"/>
  <c r="G354" i="1"/>
  <c r="U369" i="1"/>
  <c r="U273" i="1"/>
  <c r="X287" i="1"/>
  <c r="U341" i="1"/>
  <c r="U274" i="1"/>
  <c r="U383" i="1"/>
  <c r="U356" i="1"/>
  <c r="G340" i="1"/>
  <c r="G332" i="1"/>
  <c r="G261" i="1"/>
  <c r="G297" i="1"/>
  <c r="G326" i="1"/>
  <c r="G330" i="1"/>
  <c r="G362" i="1"/>
  <c r="G373" i="1"/>
  <c r="G381" i="1"/>
  <c r="G331" i="1"/>
  <c r="G270" i="1"/>
  <c r="G290" i="1"/>
  <c r="G296" i="1"/>
  <c r="G336" i="1"/>
  <c r="G352" i="1"/>
  <c r="G358" i="1"/>
  <c r="G375" i="1"/>
  <c r="G359" i="1"/>
  <c r="G343" i="1"/>
  <c r="Y123" i="2" l="1"/>
  <c r="Y121" i="2"/>
  <c r="Y119" i="2"/>
  <c r="Y118" i="2"/>
  <c r="Y117" i="2"/>
  <c r="Y113" i="2"/>
  <c r="Y110" i="2"/>
  <c r="Y109" i="2"/>
  <c r="Y105" i="2"/>
  <c r="Y103" i="2"/>
  <c r="Y102" i="2"/>
  <c r="Y99" i="2"/>
  <c r="Y95" i="2"/>
  <c r="Y94" i="2"/>
  <c r="Y91" i="2"/>
  <c r="Y89" i="2"/>
  <c r="Y87" i="2"/>
  <c r="Y86" i="2"/>
  <c r="Y85" i="2"/>
  <c r="Y81" i="2"/>
  <c r="V80" i="2"/>
  <c r="Y114" i="2"/>
  <c r="Y112" i="2"/>
  <c r="Y106" i="2"/>
  <c r="Y98" i="2"/>
  <c r="Y96" i="2"/>
  <c r="Y88" i="2"/>
  <c r="O80" i="2"/>
  <c r="D124" i="2"/>
  <c r="C124" i="2"/>
  <c r="D123" i="2"/>
  <c r="C123" i="2"/>
  <c r="G123" i="2" s="1"/>
  <c r="D122" i="2"/>
  <c r="C122" i="2"/>
  <c r="D121" i="2"/>
  <c r="C121" i="2"/>
  <c r="G121" i="2" s="1"/>
  <c r="D120" i="2"/>
  <c r="C120" i="2"/>
  <c r="D119" i="2"/>
  <c r="C119" i="2"/>
  <c r="G119" i="2" s="1"/>
  <c r="D118" i="2"/>
  <c r="C118" i="2"/>
  <c r="D117" i="2"/>
  <c r="C117" i="2"/>
  <c r="G117" i="2" s="1"/>
  <c r="D116" i="2"/>
  <c r="C116" i="2"/>
  <c r="D115" i="2"/>
  <c r="C115" i="2"/>
  <c r="G115" i="2" s="1"/>
  <c r="D114" i="2"/>
  <c r="C114" i="2"/>
  <c r="D113" i="2"/>
  <c r="C113" i="2"/>
  <c r="G113" i="2" s="1"/>
  <c r="D112" i="2"/>
  <c r="C112" i="2"/>
  <c r="D111" i="2"/>
  <c r="C111" i="2"/>
  <c r="G111" i="2" s="1"/>
  <c r="D110" i="2"/>
  <c r="C110" i="2"/>
  <c r="D109" i="2"/>
  <c r="C109" i="2"/>
  <c r="G109" i="2" s="1"/>
  <c r="D108" i="2"/>
  <c r="C108" i="2"/>
  <c r="D107" i="2"/>
  <c r="C107" i="2"/>
  <c r="G107" i="2" s="1"/>
  <c r="D106" i="2"/>
  <c r="C106" i="2"/>
  <c r="D105" i="2"/>
  <c r="C105" i="2"/>
  <c r="G105" i="2" s="1"/>
  <c r="D104" i="2"/>
  <c r="C104" i="2"/>
  <c r="D103" i="2"/>
  <c r="C103" i="2"/>
  <c r="G103" i="2" s="1"/>
  <c r="D102" i="2"/>
  <c r="C102" i="2"/>
  <c r="D101" i="2"/>
  <c r="C101" i="2"/>
  <c r="G101" i="2" s="1"/>
  <c r="D100" i="2"/>
  <c r="C100" i="2"/>
  <c r="D99" i="2"/>
  <c r="C99" i="2"/>
  <c r="G99" i="2" s="1"/>
  <c r="D98" i="2"/>
  <c r="C98" i="2"/>
  <c r="D97" i="2"/>
  <c r="C97" i="2"/>
  <c r="G97" i="2" s="1"/>
  <c r="D96" i="2"/>
  <c r="C96" i="2"/>
  <c r="D95" i="2"/>
  <c r="C95" i="2"/>
  <c r="G95" i="2" s="1"/>
  <c r="D94" i="2"/>
  <c r="C94" i="2"/>
  <c r="D93" i="2"/>
  <c r="C93" i="2"/>
  <c r="G93" i="2" s="1"/>
  <c r="D92" i="2"/>
  <c r="C92" i="2"/>
  <c r="D91" i="2"/>
  <c r="C91" i="2"/>
  <c r="G91" i="2" s="1"/>
  <c r="D90" i="2"/>
  <c r="C90" i="2"/>
  <c r="D89" i="2"/>
  <c r="C89" i="2"/>
  <c r="G89" i="2" s="1"/>
  <c r="D88" i="2"/>
  <c r="C88" i="2"/>
  <c r="D87" i="2"/>
  <c r="C87" i="2"/>
  <c r="G87" i="2" s="1"/>
  <c r="D86" i="2"/>
  <c r="C86" i="2"/>
  <c r="D85" i="2"/>
  <c r="C85" i="2"/>
  <c r="G85" i="2" s="1"/>
  <c r="D84" i="2"/>
  <c r="C84" i="2"/>
  <c r="D83" i="2"/>
  <c r="C83" i="2"/>
  <c r="G83" i="2" s="1"/>
  <c r="D82" i="2"/>
  <c r="C82" i="2"/>
  <c r="D81" i="2"/>
  <c r="C81" i="2"/>
  <c r="G81" i="2" s="1"/>
  <c r="D80" i="2"/>
  <c r="C80" i="2"/>
  <c r="G82" i="2" l="1"/>
  <c r="G84" i="2"/>
  <c r="G86" i="2"/>
  <c r="G88" i="2"/>
  <c r="G90" i="2"/>
  <c r="G92" i="2"/>
  <c r="G94" i="2"/>
  <c r="G96" i="2"/>
  <c r="G98" i="2"/>
  <c r="G100" i="2"/>
  <c r="G102" i="2"/>
  <c r="G104" i="2"/>
  <c r="G106" i="2"/>
  <c r="G108" i="2"/>
  <c r="G110" i="2"/>
  <c r="G112" i="2"/>
  <c r="G114" i="2"/>
  <c r="G116" i="2"/>
  <c r="G118" i="2"/>
  <c r="G120" i="2"/>
  <c r="G122" i="2"/>
  <c r="G124" i="2"/>
  <c r="Y97" i="2"/>
  <c r="Y93" i="2"/>
  <c r="G80" i="2"/>
  <c r="Y101" i="2"/>
  <c r="Y122" i="2"/>
  <c r="Y120" i="2"/>
  <c r="Y104" i="2"/>
  <c r="Y90" i="2"/>
  <c r="Y82" i="2"/>
  <c r="Y80" i="2"/>
  <c r="Y84" i="2"/>
  <c r="Y100" i="2"/>
  <c r="Y116" i="2"/>
  <c r="Y92" i="2"/>
  <c r="Y108" i="2"/>
  <c r="Y124" i="2"/>
  <c r="Y83" i="2"/>
  <c r="Y107" i="2"/>
  <c r="Y111" i="2"/>
  <c r="Y115" i="2"/>
  <c r="Y79" i="2" l="1"/>
  <c r="Y78" i="2"/>
  <c r="V77" i="2"/>
  <c r="Y76" i="2"/>
  <c r="Y75" i="2"/>
  <c r="Y74" i="2"/>
  <c r="V73" i="2"/>
  <c r="V72" i="2"/>
  <c r="Y71" i="2"/>
  <c r="Y70" i="2"/>
  <c r="V69" i="2"/>
  <c r="Y68" i="2"/>
  <c r="Y67" i="2"/>
  <c r="Y66" i="2"/>
  <c r="V65" i="2"/>
  <c r="Y64" i="2"/>
  <c r="Y63" i="2"/>
  <c r="Y62" i="2"/>
  <c r="V61" i="2"/>
  <c r="V60" i="2"/>
  <c r="Y59" i="2"/>
  <c r="Y58" i="2"/>
  <c r="V57" i="2"/>
  <c r="Y56" i="2"/>
  <c r="Y55" i="2"/>
  <c r="Y54" i="2"/>
  <c r="V53" i="2"/>
  <c r="V52" i="2"/>
  <c r="Y51" i="2"/>
  <c r="Y50" i="2"/>
  <c r="V49" i="2"/>
  <c r="Y48" i="2"/>
  <c r="Y47" i="2"/>
  <c r="Y46" i="2"/>
  <c r="V45" i="2"/>
  <c r="V44" i="2"/>
  <c r="Y43" i="2"/>
  <c r="D79" i="2"/>
  <c r="C79" i="2"/>
  <c r="D78" i="2"/>
  <c r="C78" i="2"/>
  <c r="D77" i="2"/>
  <c r="C77" i="2"/>
  <c r="D76" i="2"/>
  <c r="C76" i="2"/>
  <c r="D75" i="2"/>
  <c r="C75" i="2"/>
  <c r="D74" i="2"/>
  <c r="C74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U10" i="4"/>
  <c r="U2" i="4"/>
  <c r="U9" i="4"/>
  <c r="U8" i="4"/>
  <c r="U7" i="4"/>
  <c r="M138" i="1"/>
  <c r="M137" i="1"/>
  <c r="M145" i="1"/>
  <c r="M150" i="1"/>
  <c r="M171" i="1"/>
  <c r="M170" i="1"/>
  <c r="M175" i="1"/>
  <c r="M182" i="1"/>
  <c r="M187" i="1"/>
  <c r="M210" i="1"/>
  <c r="M209" i="1"/>
  <c r="M216" i="1"/>
  <c r="M223" i="1"/>
  <c r="M230" i="1"/>
  <c r="M235" i="1"/>
  <c r="G44" i="2" l="1"/>
  <c r="G46" i="2"/>
  <c r="G48" i="2"/>
  <c r="G52" i="2"/>
  <c r="G54" i="2"/>
  <c r="G56" i="2"/>
  <c r="G60" i="2"/>
  <c r="G62" i="2"/>
  <c r="G64" i="2"/>
  <c r="G68" i="2"/>
  <c r="G70" i="2"/>
  <c r="G72" i="2"/>
  <c r="G76" i="2"/>
  <c r="G79" i="2"/>
  <c r="G43" i="2"/>
  <c r="G45" i="2"/>
  <c r="G51" i="2"/>
  <c r="G53" i="2"/>
  <c r="G57" i="2"/>
  <c r="G61" i="2"/>
  <c r="G65" i="2"/>
  <c r="G67" i="2"/>
  <c r="G69" i="2"/>
  <c r="G59" i="2"/>
  <c r="G49" i="2"/>
  <c r="Y44" i="2"/>
  <c r="Y52" i="2"/>
  <c r="Y60" i="2"/>
  <c r="Y72" i="2"/>
  <c r="G75" i="2"/>
  <c r="G77" i="2"/>
  <c r="V46" i="2"/>
  <c r="V48" i="2"/>
  <c r="V50" i="2"/>
  <c r="V54" i="2"/>
  <c r="V56" i="2"/>
  <c r="V58" i="2"/>
  <c r="V62" i="2"/>
  <c r="V64" i="2"/>
  <c r="V66" i="2"/>
  <c r="V68" i="2"/>
  <c r="V70" i="2"/>
  <c r="V74" i="2"/>
  <c r="V76" i="2"/>
  <c r="V78" i="2"/>
  <c r="Y45" i="2"/>
  <c r="Y49" i="2"/>
  <c r="Y53" i="2"/>
  <c r="Y57" i="2"/>
  <c r="Y61" i="2"/>
  <c r="Y65" i="2"/>
  <c r="Y69" i="2"/>
  <c r="Y73" i="2"/>
  <c r="Y77" i="2"/>
  <c r="G74" i="2"/>
  <c r="G47" i="2"/>
  <c r="G50" i="2"/>
  <c r="G55" i="2"/>
  <c r="G58" i="2"/>
  <c r="G63" i="2"/>
  <c r="G66" i="2"/>
  <c r="G71" i="2"/>
  <c r="G73" i="2"/>
  <c r="G78" i="2"/>
  <c r="V47" i="2"/>
  <c r="V51" i="2"/>
  <c r="V55" i="2"/>
  <c r="V59" i="2"/>
  <c r="V63" i="2"/>
  <c r="V67" i="2"/>
  <c r="V71" i="2"/>
  <c r="V75" i="2"/>
  <c r="V79" i="2"/>
  <c r="V43" i="2"/>
  <c r="M239" i="1" l="1"/>
  <c r="M238" i="1"/>
  <c r="M229" i="1"/>
  <c r="M228" i="1"/>
  <c r="M227" i="1"/>
  <c r="M221" i="1"/>
  <c r="M215" i="1"/>
  <c r="M208" i="1"/>
  <c r="M207" i="1"/>
  <c r="M195" i="1"/>
  <c r="M194" i="1"/>
  <c r="M193" i="1"/>
  <c r="M192" i="1"/>
  <c r="M214" i="1"/>
  <c r="M186" i="1"/>
  <c r="M184" i="1"/>
  <c r="M181" i="1"/>
  <c r="M179" i="1"/>
  <c r="M174" i="1"/>
  <c r="M166" i="1"/>
  <c r="M160" i="1"/>
  <c r="M156" i="1"/>
  <c r="M155" i="1"/>
  <c r="M152" i="1"/>
  <c r="M149" i="1"/>
  <c r="M136" i="1"/>
  <c r="M135" i="1"/>
  <c r="M134" i="1"/>
  <c r="M133" i="1"/>
  <c r="U3" i="4"/>
  <c r="U4" i="4"/>
  <c r="U5" i="4"/>
  <c r="U6" i="4"/>
  <c r="U497" i="4" l="1"/>
  <c r="V497" i="4" s="1"/>
  <c r="V498" i="4" s="1"/>
  <c r="G42" i="2"/>
  <c r="O42" i="2"/>
  <c r="S42" i="2"/>
  <c r="V42" i="2" s="1"/>
  <c r="G39" i="2"/>
  <c r="O39" i="2"/>
  <c r="S39" i="2"/>
  <c r="V39" i="2" s="1"/>
  <c r="G40" i="2"/>
  <c r="O40" i="2"/>
  <c r="S40" i="2"/>
  <c r="V40" i="2" s="1"/>
  <c r="G41" i="2"/>
  <c r="O41" i="2"/>
  <c r="S41" i="2"/>
  <c r="Y41" i="2" s="1"/>
  <c r="G37" i="2"/>
  <c r="O37" i="2"/>
  <c r="S37" i="2"/>
  <c r="G38" i="2"/>
  <c r="O38" i="2"/>
  <c r="S38" i="2"/>
  <c r="V38" i="2" s="1"/>
  <c r="G35" i="2"/>
  <c r="O35" i="2"/>
  <c r="S35" i="2"/>
  <c r="V35" i="2" s="1"/>
  <c r="G36" i="2"/>
  <c r="O36" i="2"/>
  <c r="S36" i="2"/>
  <c r="V36" i="2" s="1"/>
  <c r="G30" i="2"/>
  <c r="O30" i="2"/>
  <c r="S30" i="2"/>
  <c r="G31" i="2"/>
  <c r="O31" i="2"/>
  <c r="S31" i="2"/>
  <c r="V31" i="2" s="1"/>
  <c r="G32" i="2"/>
  <c r="O32" i="2"/>
  <c r="S32" i="2"/>
  <c r="V32" i="2" s="1"/>
  <c r="G33" i="2"/>
  <c r="O33" i="2"/>
  <c r="S33" i="2"/>
  <c r="V33" i="2" s="1"/>
  <c r="G34" i="2"/>
  <c r="O34" i="2"/>
  <c r="S34" i="2"/>
  <c r="G28" i="2"/>
  <c r="O28" i="2"/>
  <c r="S28" i="2"/>
  <c r="V28" i="2" s="1"/>
  <c r="G29" i="2"/>
  <c r="O29" i="2"/>
  <c r="S29" i="2"/>
  <c r="V29" i="2" s="1"/>
  <c r="G27" i="2"/>
  <c r="O27" i="2"/>
  <c r="S27" i="2"/>
  <c r="V27" i="2" s="1"/>
  <c r="G24" i="2"/>
  <c r="O24" i="2"/>
  <c r="S24" i="2"/>
  <c r="G25" i="2"/>
  <c r="O25" i="2"/>
  <c r="S25" i="2"/>
  <c r="V25" i="2" s="1"/>
  <c r="G26" i="2"/>
  <c r="O26" i="2"/>
  <c r="S26" i="2"/>
  <c r="V26" i="2" s="1"/>
  <c r="G17" i="2"/>
  <c r="O17" i="2"/>
  <c r="S17" i="2"/>
  <c r="V17" i="2" s="1"/>
  <c r="G18" i="2"/>
  <c r="O18" i="2"/>
  <c r="S18" i="2"/>
  <c r="G19" i="2"/>
  <c r="O19" i="2"/>
  <c r="S19" i="2"/>
  <c r="V19" i="2" s="1"/>
  <c r="G20" i="2"/>
  <c r="O20" i="2"/>
  <c r="S20" i="2"/>
  <c r="G21" i="2"/>
  <c r="O21" i="2"/>
  <c r="S21" i="2"/>
  <c r="V21" i="2" s="1"/>
  <c r="G22" i="2"/>
  <c r="O22" i="2"/>
  <c r="S22" i="2"/>
  <c r="G23" i="2"/>
  <c r="O23" i="2"/>
  <c r="S23" i="2"/>
  <c r="Y27" i="2" s="1"/>
  <c r="G2" i="2"/>
  <c r="O2" i="2"/>
  <c r="S2" i="2"/>
  <c r="Y28" i="2"/>
  <c r="G3" i="2"/>
  <c r="O3" i="2"/>
  <c r="S3" i="2"/>
  <c r="V3" i="2" s="1"/>
  <c r="G4" i="2"/>
  <c r="O4" i="2"/>
  <c r="S4" i="2"/>
  <c r="G5" i="2"/>
  <c r="O5" i="2"/>
  <c r="S5" i="2"/>
  <c r="V5" i="2" s="1"/>
  <c r="G6" i="2"/>
  <c r="O6" i="2"/>
  <c r="S6" i="2"/>
  <c r="V6" i="2" s="1"/>
  <c r="G7" i="2"/>
  <c r="O7" i="2"/>
  <c r="S7" i="2"/>
  <c r="V7" i="2" s="1"/>
  <c r="G8" i="2"/>
  <c r="O8" i="2"/>
  <c r="S8" i="2"/>
  <c r="G9" i="2"/>
  <c r="O9" i="2"/>
  <c r="S9" i="2"/>
  <c r="V9" i="2" s="1"/>
  <c r="G10" i="2"/>
  <c r="O10" i="2"/>
  <c r="S10" i="2"/>
  <c r="V10" i="2" s="1"/>
  <c r="G11" i="2"/>
  <c r="O11" i="2"/>
  <c r="S11" i="2"/>
  <c r="V11" i="2" s="1"/>
  <c r="G12" i="2"/>
  <c r="O12" i="2"/>
  <c r="S12" i="2"/>
  <c r="G13" i="2"/>
  <c r="O13" i="2"/>
  <c r="S13" i="2"/>
  <c r="V13" i="2" s="1"/>
  <c r="G14" i="2"/>
  <c r="O14" i="2"/>
  <c r="S14" i="2"/>
  <c r="V14" i="2" s="1"/>
  <c r="G15" i="2"/>
  <c r="O15" i="2"/>
  <c r="S15" i="2"/>
  <c r="V15" i="2" s="1"/>
  <c r="G16" i="2"/>
  <c r="O16" i="2"/>
  <c r="S16" i="2"/>
  <c r="Y40" i="2" l="1"/>
  <c r="Y35" i="2"/>
  <c r="V2" i="2"/>
  <c r="S5000" i="2"/>
  <c r="Y24" i="2"/>
  <c r="Y32" i="2"/>
  <c r="Y31" i="2"/>
  <c r="Y39" i="2"/>
  <c r="Y38" i="2"/>
  <c r="Y33" i="2"/>
  <c r="Y36" i="2"/>
  <c r="Y42" i="2"/>
  <c r="Y30" i="2"/>
  <c r="V20" i="2"/>
  <c r="Y37" i="2"/>
  <c r="Y34" i="2"/>
  <c r="Y26" i="2"/>
  <c r="Y13" i="2"/>
  <c r="Y12" i="2"/>
  <c r="Y11" i="2"/>
  <c r="Y10" i="2"/>
  <c r="Y4" i="2"/>
  <c r="Y3" i="2"/>
  <c r="Y2" i="2"/>
  <c r="Y14" i="2"/>
  <c r="Y5" i="2"/>
  <c r="Y23" i="2"/>
  <c r="Y19" i="2"/>
  <c r="Y6" i="2"/>
  <c r="V23" i="2"/>
  <c r="Y25" i="2"/>
  <c r="Y22" i="2"/>
  <c r="Y21" i="2"/>
  <c r="Y20" i="2"/>
  <c r="Y18" i="2"/>
  <c r="Y17" i="2"/>
  <c r="Y16" i="2"/>
  <c r="Y8" i="2"/>
  <c r="Y7" i="2"/>
  <c r="Y29" i="2"/>
  <c r="Y15" i="2"/>
  <c r="Y9" i="2"/>
  <c r="V41" i="2"/>
  <c r="V16" i="2"/>
  <c r="V12" i="2"/>
  <c r="V8" i="2"/>
  <c r="V4" i="2"/>
  <c r="V22" i="2"/>
  <c r="V18" i="2"/>
  <c r="V24" i="2"/>
  <c r="V34" i="2"/>
  <c r="V30" i="2"/>
  <c r="V37" i="2"/>
  <c r="D212" i="1"/>
  <c r="C212" i="1"/>
  <c r="D206" i="1"/>
  <c r="C206" i="1"/>
  <c r="D165" i="1"/>
  <c r="C165" i="1"/>
  <c r="D234" i="1"/>
  <c r="C234" i="1"/>
  <c r="D226" i="1"/>
  <c r="C226" i="1"/>
  <c r="D191" i="1"/>
  <c r="C191" i="1"/>
  <c r="D220" i="1"/>
  <c r="C220" i="1"/>
  <c r="D164" i="1"/>
  <c r="C164" i="1"/>
  <c r="D243" i="1"/>
  <c r="C243" i="1"/>
  <c r="D219" i="1"/>
  <c r="C219" i="1"/>
  <c r="D218" i="1"/>
  <c r="C218" i="1"/>
  <c r="D190" i="1"/>
  <c r="C190" i="1"/>
  <c r="D257" i="1"/>
  <c r="C257" i="1"/>
  <c r="D178" i="1"/>
  <c r="C178" i="1"/>
  <c r="D163" i="1"/>
  <c r="C163" i="1"/>
  <c r="D144" i="1"/>
  <c r="C144" i="1"/>
  <c r="D143" i="1"/>
  <c r="C143" i="1"/>
  <c r="D242" i="1"/>
  <c r="C242" i="1"/>
  <c r="D233" i="1"/>
  <c r="C233" i="1"/>
  <c r="D189" i="1"/>
  <c r="C189" i="1"/>
  <c r="D168" i="1"/>
  <c r="C168" i="1"/>
  <c r="D142" i="1"/>
  <c r="C142" i="1"/>
  <c r="D237" i="1"/>
  <c r="C237" i="1"/>
  <c r="D236" i="1"/>
  <c r="C236" i="1"/>
  <c r="D217" i="1"/>
  <c r="C217" i="1"/>
  <c r="D211" i="1"/>
  <c r="C211" i="1"/>
  <c r="D205" i="1"/>
  <c r="C205" i="1"/>
  <c r="D188" i="1"/>
  <c r="C188" i="1"/>
  <c r="D185" i="1"/>
  <c r="C185" i="1"/>
  <c r="D173" i="1"/>
  <c r="C173" i="1"/>
  <c r="D162" i="1"/>
  <c r="C162" i="1"/>
  <c r="D153" i="1"/>
  <c r="C153" i="1"/>
  <c r="D148" i="1"/>
  <c r="C148" i="1"/>
  <c r="D141" i="1"/>
  <c r="C141" i="1"/>
  <c r="D140" i="1"/>
  <c r="C140" i="1"/>
  <c r="D241" i="1"/>
  <c r="C241" i="1"/>
  <c r="D232" i="1"/>
  <c r="C232" i="1"/>
  <c r="D213" i="1"/>
  <c r="C213" i="1"/>
  <c r="D202" i="1"/>
  <c r="C202" i="1"/>
  <c r="D183" i="1"/>
  <c r="C183" i="1"/>
  <c r="D172" i="1"/>
  <c r="C172" i="1"/>
  <c r="D159" i="1"/>
  <c r="C159" i="1"/>
  <c r="D147" i="1"/>
  <c r="C147" i="1"/>
  <c r="D139" i="1"/>
  <c r="C139" i="1"/>
  <c r="D180" i="1"/>
  <c r="C180" i="1"/>
  <c r="D225" i="1"/>
  <c r="C225" i="1"/>
  <c r="D231" i="1"/>
  <c r="C231" i="1"/>
  <c r="D201" i="1"/>
  <c r="C201" i="1"/>
  <c r="D200" i="1"/>
  <c r="C200" i="1"/>
  <c r="D224" i="1"/>
  <c r="C224" i="1"/>
  <c r="D199" i="1"/>
  <c r="C199" i="1"/>
  <c r="D198" i="1"/>
  <c r="C198" i="1"/>
  <c r="D204" i="1"/>
  <c r="C204" i="1"/>
  <c r="D177" i="1"/>
  <c r="C177" i="1"/>
  <c r="D167" i="1"/>
  <c r="C167" i="1"/>
  <c r="D161" i="1"/>
  <c r="C161" i="1"/>
  <c r="D222" i="1"/>
  <c r="C222" i="1"/>
  <c r="D197" i="1"/>
  <c r="C197" i="1"/>
  <c r="D146" i="1"/>
  <c r="C146" i="1"/>
  <c r="D158" i="1"/>
  <c r="C158" i="1"/>
  <c r="D131" i="1"/>
  <c r="C131" i="1"/>
  <c r="D132" i="1"/>
  <c r="C132" i="1"/>
  <c r="D157" i="1"/>
  <c r="C157" i="1"/>
  <c r="D196" i="1"/>
  <c r="C196" i="1"/>
  <c r="D151" i="1"/>
  <c r="C151" i="1"/>
  <c r="D129" i="1"/>
  <c r="C129" i="1"/>
  <c r="D128" i="1"/>
  <c r="C128" i="1"/>
  <c r="D130" i="1"/>
  <c r="C130" i="1"/>
  <c r="D127" i="1"/>
  <c r="C127" i="1"/>
  <c r="D176" i="1"/>
  <c r="C176" i="1"/>
  <c r="D138" i="1"/>
  <c r="C138" i="1"/>
  <c r="D137" i="1"/>
  <c r="C137" i="1"/>
  <c r="D145" i="1"/>
  <c r="C145" i="1"/>
  <c r="D150" i="1"/>
  <c r="C150" i="1"/>
  <c r="D171" i="1"/>
  <c r="C171" i="1"/>
  <c r="D170" i="1"/>
  <c r="C170" i="1"/>
  <c r="D175" i="1"/>
  <c r="C175" i="1"/>
  <c r="D182" i="1"/>
  <c r="C182" i="1"/>
  <c r="D187" i="1"/>
  <c r="C187" i="1"/>
  <c r="D210" i="1"/>
  <c r="C210" i="1"/>
  <c r="D209" i="1"/>
  <c r="C209" i="1"/>
  <c r="D216" i="1"/>
  <c r="C216" i="1"/>
  <c r="D223" i="1"/>
  <c r="C223" i="1"/>
  <c r="D230" i="1"/>
  <c r="C230" i="1"/>
  <c r="D235" i="1"/>
  <c r="C235" i="1"/>
  <c r="D240" i="1"/>
  <c r="C240" i="1"/>
  <c r="D203" i="1"/>
  <c r="C203" i="1"/>
  <c r="D239" i="1"/>
  <c r="C239" i="1"/>
  <c r="D238" i="1"/>
  <c r="C238" i="1"/>
  <c r="D229" i="1"/>
  <c r="C229" i="1"/>
  <c r="D228" i="1"/>
  <c r="C228" i="1"/>
  <c r="D227" i="1"/>
  <c r="C227" i="1"/>
  <c r="D221" i="1"/>
  <c r="C221" i="1"/>
  <c r="D215" i="1"/>
  <c r="C215" i="1"/>
  <c r="D208" i="1"/>
  <c r="C208" i="1"/>
  <c r="D207" i="1"/>
  <c r="C207" i="1"/>
  <c r="D195" i="1"/>
  <c r="C195" i="1"/>
  <c r="D194" i="1"/>
  <c r="C194" i="1"/>
  <c r="D193" i="1"/>
  <c r="C193" i="1"/>
  <c r="D192" i="1"/>
  <c r="C192" i="1"/>
  <c r="D214" i="1"/>
  <c r="C214" i="1"/>
  <c r="D186" i="1"/>
  <c r="C186" i="1"/>
  <c r="D184" i="1"/>
  <c r="C184" i="1"/>
  <c r="D181" i="1"/>
  <c r="C181" i="1"/>
  <c r="D179" i="1"/>
  <c r="C179" i="1"/>
  <c r="D174" i="1"/>
  <c r="C174" i="1"/>
  <c r="D169" i="1"/>
  <c r="C169" i="1"/>
  <c r="D166" i="1"/>
  <c r="C166" i="1"/>
  <c r="D160" i="1"/>
  <c r="C160" i="1"/>
  <c r="D156" i="1"/>
  <c r="C156" i="1"/>
  <c r="D155" i="1"/>
  <c r="C155" i="1"/>
  <c r="D152" i="1"/>
  <c r="C152" i="1"/>
  <c r="D149" i="1"/>
  <c r="C149" i="1"/>
  <c r="D136" i="1"/>
  <c r="C136" i="1"/>
  <c r="D135" i="1"/>
  <c r="C135" i="1"/>
  <c r="D134" i="1"/>
  <c r="C134" i="1"/>
  <c r="D133" i="1"/>
  <c r="C133" i="1"/>
  <c r="V5000" i="2" l="1"/>
  <c r="G168" i="1"/>
  <c r="G233" i="1"/>
  <c r="G143" i="1"/>
  <c r="G163" i="1"/>
  <c r="G218" i="1"/>
  <c r="G243" i="1"/>
  <c r="G220" i="1"/>
  <c r="G165" i="1"/>
  <c r="G212" i="1"/>
  <c r="U184" i="1"/>
  <c r="X184" i="1"/>
  <c r="U223" i="1"/>
  <c r="X223" i="1"/>
  <c r="U138" i="1"/>
  <c r="X138" i="1"/>
  <c r="U146" i="1"/>
  <c r="X146" i="1"/>
  <c r="U167" i="1"/>
  <c r="X167" i="1"/>
  <c r="U199" i="1"/>
  <c r="X199" i="1"/>
  <c r="U147" i="1"/>
  <c r="X147" i="1"/>
  <c r="U202" i="1"/>
  <c r="X202" i="1"/>
  <c r="U140" i="1"/>
  <c r="X140" i="1"/>
  <c r="U162" i="1"/>
  <c r="X162" i="1"/>
  <c r="U205" i="1"/>
  <c r="X205" i="1"/>
  <c r="U237" i="1"/>
  <c r="X237" i="1"/>
  <c r="U233" i="1"/>
  <c r="X233" i="1"/>
  <c r="U163" i="1"/>
  <c r="X163" i="1"/>
  <c r="U218" i="1"/>
  <c r="X218" i="1"/>
  <c r="U220" i="1"/>
  <c r="X220" i="1"/>
  <c r="U165" i="1"/>
  <c r="X165" i="1"/>
  <c r="U206" i="1"/>
  <c r="X206" i="1"/>
  <c r="U135" i="1"/>
  <c r="X135" i="1"/>
  <c r="U169" i="1"/>
  <c r="X169" i="1"/>
  <c r="U208" i="1"/>
  <c r="X208" i="1"/>
  <c r="U203" i="1"/>
  <c r="X203" i="1"/>
  <c r="U171" i="1"/>
  <c r="X171" i="1"/>
  <c r="U157" i="1"/>
  <c r="X157" i="1"/>
  <c r="U154" i="1"/>
  <c r="X154" i="1"/>
  <c r="U136" i="1"/>
  <c r="X136" i="1"/>
  <c r="U156" i="1"/>
  <c r="X156" i="1"/>
  <c r="U174" i="1"/>
  <c r="X174" i="1"/>
  <c r="U186" i="1"/>
  <c r="X186" i="1"/>
  <c r="U194" i="1"/>
  <c r="X194" i="1"/>
  <c r="U215" i="1"/>
  <c r="X215" i="1"/>
  <c r="U229" i="1"/>
  <c r="X229" i="1"/>
  <c r="U240" i="1"/>
  <c r="X240" i="1"/>
  <c r="U216" i="1"/>
  <c r="X216" i="1"/>
  <c r="U182" i="1"/>
  <c r="X182" i="1"/>
  <c r="U150" i="1"/>
  <c r="X150" i="1"/>
  <c r="U176" i="1"/>
  <c r="X176" i="1"/>
  <c r="U129" i="1"/>
  <c r="X129" i="1"/>
  <c r="U132" i="1"/>
  <c r="X132" i="1"/>
  <c r="U197" i="1"/>
  <c r="X197" i="1"/>
  <c r="U177" i="1"/>
  <c r="X177" i="1"/>
  <c r="U224" i="1"/>
  <c r="X224" i="1"/>
  <c r="U225" i="1"/>
  <c r="X225" i="1"/>
  <c r="U159" i="1"/>
  <c r="X159" i="1"/>
  <c r="U213" i="1"/>
  <c r="X213" i="1"/>
  <c r="U141" i="1"/>
  <c r="X141" i="1"/>
  <c r="U173" i="1"/>
  <c r="X173" i="1"/>
  <c r="U211" i="1"/>
  <c r="X211" i="1"/>
  <c r="U142" i="1"/>
  <c r="X142" i="1"/>
  <c r="U242" i="1"/>
  <c r="X242" i="1"/>
  <c r="U178" i="1"/>
  <c r="X178" i="1"/>
  <c r="U219" i="1"/>
  <c r="X219" i="1"/>
  <c r="U191" i="1"/>
  <c r="X191" i="1"/>
  <c r="U133" i="1"/>
  <c r="X133" i="1"/>
  <c r="U149" i="1"/>
  <c r="X149" i="1"/>
  <c r="U160" i="1"/>
  <c r="X160" i="1"/>
  <c r="U179" i="1"/>
  <c r="X179" i="1"/>
  <c r="U214" i="1"/>
  <c r="X214" i="1"/>
  <c r="U195" i="1"/>
  <c r="X195" i="1"/>
  <c r="U221" i="1"/>
  <c r="X221" i="1"/>
  <c r="U238" i="1"/>
  <c r="X238" i="1"/>
  <c r="U235" i="1"/>
  <c r="X235" i="1"/>
  <c r="U209" i="1"/>
  <c r="X209" i="1"/>
  <c r="U175" i="1"/>
  <c r="X175" i="1"/>
  <c r="U145" i="1"/>
  <c r="X145" i="1"/>
  <c r="U127" i="1"/>
  <c r="X127" i="1"/>
  <c r="U151" i="1"/>
  <c r="X151" i="1"/>
  <c r="U131" i="1"/>
  <c r="X131" i="1"/>
  <c r="U222" i="1"/>
  <c r="X222" i="1"/>
  <c r="U204" i="1"/>
  <c r="X204" i="1"/>
  <c r="U200" i="1"/>
  <c r="X200" i="1"/>
  <c r="U180" i="1"/>
  <c r="X180" i="1"/>
  <c r="U172" i="1"/>
  <c r="X172" i="1"/>
  <c r="U232" i="1"/>
  <c r="X232" i="1"/>
  <c r="U148" i="1"/>
  <c r="X148" i="1"/>
  <c r="U185" i="1"/>
  <c r="X185" i="1"/>
  <c r="U217" i="1"/>
  <c r="X217" i="1"/>
  <c r="U168" i="1"/>
  <c r="X168" i="1"/>
  <c r="U143" i="1"/>
  <c r="X143" i="1"/>
  <c r="U257" i="1"/>
  <c r="X257" i="1"/>
  <c r="U243" i="1"/>
  <c r="X243" i="1"/>
  <c r="U226" i="1"/>
  <c r="X226" i="1"/>
  <c r="U212" i="1"/>
  <c r="X212" i="1"/>
  <c r="U155" i="1"/>
  <c r="X155" i="1"/>
  <c r="U193" i="1"/>
  <c r="X193" i="1"/>
  <c r="U228" i="1"/>
  <c r="X228" i="1"/>
  <c r="U187" i="1"/>
  <c r="X187" i="1"/>
  <c r="U128" i="1"/>
  <c r="X128" i="1"/>
  <c r="U231" i="1"/>
  <c r="X231" i="1"/>
  <c r="U134" i="1"/>
  <c r="X134" i="1"/>
  <c r="U152" i="1"/>
  <c r="X152" i="1"/>
  <c r="U166" i="1"/>
  <c r="X166" i="1"/>
  <c r="U181" i="1"/>
  <c r="X181" i="1"/>
  <c r="U192" i="1"/>
  <c r="X192" i="1"/>
  <c r="U207" i="1"/>
  <c r="X207" i="1"/>
  <c r="U227" i="1"/>
  <c r="X227" i="1"/>
  <c r="U239" i="1"/>
  <c r="X239" i="1"/>
  <c r="U230" i="1"/>
  <c r="X230" i="1"/>
  <c r="U210" i="1"/>
  <c r="X210" i="1"/>
  <c r="U170" i="1"/>
  <c r="X170" i="1"/>
  <c r="U137" i="1"/>
  <c r="X137" i="1"/>
  <c r="U130" i="1"/>
  <c r="X130" i="1"/>
  <c r="U196" i="1"/>
  <c r="X196" i="1"/>
  <c r="U158" i="1"/>
  <c r="X158" i="1"/>
  <c r="U161" i="1"/>
  <c r="X161" i="1"/>
  <c r="U198" i="1"/>
  <c r="X198" i="1"/>
  <c r="U201" i="1"/>
  <c r="X201" i="1"/>
  <c r="U139" i="1"/>
  <c r="X139" i="1"/>
  <c r="U183" i="1"/>
  <c r="X183" i="1"/>
  <c r="U241" i="1"/>
  <c r="X241" i="1"/>
  <c r="U153" i="1"/>
  <c r="X153" i="1"/>
  <c r="U188" i="1"/>
  <c r="X188" i="1"/>
  <c r="U236" i="1"/>
  <c r="X236" i="1"/>
  <c r="U189" i="1"/>
  <c r="X189" i="1"/>
  <c r="U144" i="1"/>
  <c r="X144" i="1"/>
  <c r="U190" i="1"/>
  <c r="X190" i="1"/>
  <c r="U164" i="1"/>
  <c r="X164" i="1"/>
  <c r="U234" i="1"/>
  <c r="X234" i="1"/>
  <c r="G257" i="1"/>
  <c r="G169" i="1"/>
  <c r="G179" i="1"/>
  <c r="G184" i="1"/>
  <c r="G214" i="1"/>
  <c r="G193" i="1"/>
  <c r="G195" i="1"/>
  <c r="G208" i="1"/>
  <c r="G221" i="1"/>
  <c r="G228" i="1"/>
  <c r="G238" i="1"/>
  <c r="G203" i="1"/>
  <c r="G235" i="1"/>
  <c r="G223" i="1"/>
  <c r="G209" i="1"/>
  <c r="G187" i="1"/>
  <c r="G175" i="1"/>
  <c r="G171" i="1"/>
  <c r="G145" i="1"/>
  <c r="G138" i="1"/>
  <c r="G127" i="1"/>
  <c r="G128" i="1"/>
  <c r="G151" i="1"/>
  <c r="G157" i="1"/>
  <c r="G131" i="1"/>
  <c r="G146" i="1"/>
  <c r="G222" i="1"/>
  <c r="G167" i="1"/>
  <c r="G204" i="1"/>
  <c r="G199" i="1"/>
  <c r="G200" i="1"/>
  <c r="G231" i="1"/>
  <c r="G180" i="1"/>
  <c r="G147" i="1"/>
  <c r="G172" i="1"/>
  <c r="G202" i="1"/>
  <c r="G232" i="1"/>
  <c r="G140" i="1"/>
  <c r="G148" i="1"/>
  <c r="G162" i="1"/>
  <c r="G185" i="1"/>
  <c r="G205" i="1"/>
  <c r="G217" i="1"/>
  <c r="G237" i="1"/>
  <c r="G141" i="1"/>
  <c r="G226" i="1"/>
  <c r="G166" i="1"/>
  <c r="G174" i="1"/>
  <c r="G181" i="1"/>
  <c r="G186" i="1"/>
  <c r="G192" i="1"/>
  <c r="G194" i="1"/>
  <c r="G207" i="1"/>
  <c r="G215" i="1"/>
  <c r="G227" i="1"/>
  <c r="G229" i="1"/>
  <c r="G239" i="1"/>
  <c r="G240" i="1"/>
  <c r="G230" i="1"/>
  <c r="G216" i="1"/>
  <c r="G210" i="1"/>
  <c r="G182" i="1"/>
  <c r="G170" i="1"/>
  <c r="G150" i="1"/>
  <c r="G137" i="1"/>
  <c r="G176" i="1"/>
  <c r="G130" i="1"/>
  <c r="G129" i="1"/>
  <c r="G196" i="1"/>
  <c r="G132" i="1"/>
  <c r="G158" i="1"/>
  <c r="G197" i="1"/>
  <c r="G161" i="1"/>
  <c r="G177" i="1"/>
  <c r="G198" i="1"/>
  <c r="G224" i="1"/>
  <c r="G201" i="1"/>
  <c r="G225" i="1"/>
  <c r="G139" i="1"/>
  <c r="G159" i="1"/>
  <c r="G183" i="1"/>
  <c r="G213" i="1"/>
  <c r="G241" i="1"/>
  <c r="G153" i="1"/>
  <c r="G173" i="1"/>
  <c r="G188" i="1"/>
  <c r="G211" i="1"/>
  <c r="G236" i="1"/>
  <c r="G142" i="1"/>
  <c r="G189" i="1"/>
  <c r="G242" i="1"/>
  <c r="G144" i="1"/>
  <c r="G178" i="1"/>
  <c r="G190" i="1"/>
  <c r="G219" i="1"/>
  <c r="G164" i="1"/>
  <c r="G191" i="1"/>
  <c r="G234" i="1"/>
  <c r="G206" i="1"/>
  <c r="G160" i="1"/>
  <c r="G156" i="1"/>
  <c r="G155" i="1"/>
  <c r="G152" i="1"/>
  <c r="G149" i="1"/>
  <c r="G136" i="1"/>
  <c r="G135" i="1"/>
  <c r="G134" i="1"/>
  <c r="G133" i="1"/>
  <c r="D154" i="1"/>
  <c r="C154" i="1"/>
  <c r="G154" i="1" l="1"/>
  <c r="T126" i="1"/>
  <c r="U126" i="1" s="1"/>
  <c r="G126" i="1"/>
  <c r="X126" i="1" l="1"/>
  <c r="T29" i="1"/>
  <c r="U29" i="1" s="1"/>
  <c r="T114" i="1"/>
  <c r="X114" i="1" s="1"/>
  <c r="T107" i="1"/>
  <c r="U107" i="1" s="1"/>
  <c r="T88" i="1"/>
  <c r="U88" i="1" s="1"/>
  <c r="T75" i="1"/>
  <c r="U75" i="1" s="1"/>
  <c r="T55" i="1"/>
  <c r="X55" i="1" s="1"/>
  <c r="T28" i="1"/>
  <c r="U28" i="1" s="1"/>
  <c r="T113" i="1"/>
  <c r="X113" i="1" s="1"/>
  <c r="T87" i="1"/>
  <c r="U87" i="1" s="1"/>
  <c r="T62" i="1"/>
  <c r="X62" i="1" s="1"/>
  <c r="T41" i="1"/>
  <c r="U41" i="1" s="1"/>
  <c r="T13" i="1"/>
  <c r="U13" i="1" s="1"/>
  <c r="G29" i="1"/>
  <c r="G114" i="1"/>
  <c r="G107" i="1"/>
  <c r="G88" i="1"/>
  <c r="G75" i="1"/>
  <c r="G55" i="1"/>
  <c r="G28" i="1"/>
  <c r="G113" i="1"/>
  <c r="G87" i="1"/>
  <c r="G62" i="1"/>
  <c r="G41" i="1"/>
  <c r="G13" i="1"/>
  <c r="G40" i="1"/>
  <c r="T125" i="1"/>
  <c r="U125" i="1" s="1"/>
  <c r="T108" i="1"/>
  <c r="U108" i="1" s="1"/>
  <c r="T92" i="1"/>
  <c r="U92" i="1" s="1"/>
  <c r="T79" i="1"/>
  <c r="U79" i="1" s="1"/>
  <c r="T71" i="1"/>
  <c r="U71" i="1" s="1"/>
  <c r="T68" i="1"/>
  <c r="U68" i="1" s="1"/>
  <c r="T58" i="1"/>
  <c r="U58" i="1" s="1"/>
  <c r="T48" i="1"/>
  <c r="U48" i="1" s="1"/>
  <c r="T43" i="1"/>
  <c r="U43" i="1" s="1"/>
  <c r="T33" i="1"/>
  <c r="U33" i="1" s="1"/>
  <c r="T24" i="1"/>
  <c r="U24" i="1" s="1"/>
  <c r="T16" i="1"/>
  <c r="U16" i="1" s="1"/>
  <c r="T119" i="1"/>
  <c r="U119" i="1" s="1"/>
  <c r="T106" i="1"/>
  <c r="U106" i="1" s="1"/>
  <c r="T91" i="1"/>
  <c r="U91" i="1" s="1"/>
  <c r="T74" i="1"/>
  <c r="U74" i="1" s="1"/>
  <c r="T63" i="1"/>
  <c r="U63" i="1" s="1"/>
  <c r="T54" i="1"/>
  <c r="U54" i="1" s="1"/>
  <c r="T42" i="1"/>
  <c r="U42" i="1" s="1"/>
  <c r="T27" i="1"/>
  <c r="U27" i="1" s="1"/>
  <c r="T15" i="1"/>
  <c r="U15" i="1" s="1"/>
  <c r="T46" i="1"/>
  <c r="U46" i="1" s="1"/>
  <c r="T53" i="1"/>
  <c r="U53" i="1" s="1"/>
  <c r="T45" i="1"/>
  <c r="U45" i="1" s="1"/>
  <c r="T40" i="1"/>
  <c r="U40" i="1" s="1"/>
  <c r="T39" i="1"/>
  <c r="U39" i="1" s="1"/>
  <c r="T32" i="1"/>
  <c r="U32" i="1" s="1"/>
  <c r="T57" i="1"/>
  <c r="U57" i="1" s="1"/>
  <c r="T67" i="1"/>
  <c r="U67" i="1" s="1"/>
  <c r="T86" i="1"/>
  <c r="U86" i="1" s="1"/>
  <c r="T95" i="1"/>
  <c r="U95" i="1" s="1"/>
  <c r="T85" i="1"/>
  <c r="U85" i="1" s="1"/>
  <c r="T124" i="1"/>
  <c r="U124" i="1" s="1"/>
  <c r="T94" i="1"/>
  <c r="U94" i="1" s="1"/>
  <c r="T118" i="1"/>
  <c r="U118" i="1" s="1"/>
  <c r="T123" i="1"/>
  <c r="U123" i="1" s="1"/>
  <c r="T84" i="1"/>
  <c r="U84" i="1" s="1"/>
  <c r="T83" i="1"/>
  <c r="U83" i="1" s="1"/>
  <c r="T105" i="1"/>
  <c r="U105" i="1" s="1"/>
  <c r="T20" i="1"/>
  <c r="U20" i="1" s="1"/>
  <c r="T82" i="1"/>
  <c r="U82" i="1" s="1"/>
  <c r="T102" i="1"/>
  <c r="U102" i="1" s="1"/>
  <c r="T117" i="1"/>
  <c r="U117" i="1" s="1"/>
  <c r="T112" i="1"/>
  <c r="U112" i="1" s="1"/>
  <c r="T8" i="1"/>
  <c r="U8" i="1" s="1"/>
  <c r="T52" i="1"/>
  <c r="U52" i="1" s="1"/>
  <c r="T19" i="1"/>
  <c r="U19" i="1" s="1"/>
  <c r="T23" i="1"/>
  <c r="U23" i="1" s="1"/>
  <c r="T101" i="1"/>
  <c r="U101" i="1" s="1"/>
  <c r="T100" i="1"/>
  <c r="U100" i="1" s="1"/>
  <c r="T99" i="1"/>
  <c r="U99" i="1" s="1"/>
  <c r="T70" i="1"/>
  <c r="U70" i="1" s="1"/>
  <c r="T98" i="1"/>
  <c r="U98" i="1" s="1"/>
  <c r="T4" i="1"/>
  <c r="U4" i="1" s="1"/>
  <c r="T5" i="1"/>
  <c r="U5" i="1" s="1"/>
  <c r="T7" i="1"/>
  <c r="U7" i="1" s="1"/>
  <c r="T6" i="1"/>
  <c r="U6" i="1" s="1"/>
  <c r="T73" i="1"/>
  <c r="U73" i="1" s="1"/>
  <c r="T2" i="1"/>
  <c r="T3" i="1"/>
  <c r="U3" i="1" s="1"/>
  <c r="T12" i="1"/>
  <c r="U12" i="1" s="1"/>
  <c r="T11" i="1"/>
  <c r="U11" i="1" s="1"/>
  <c r="T14" i="1"/>
  <c r="U14" i="1" s="1"/>
  <c r="T18" i="1"/>
  <c r="U18" i="1" s="1"/>
  <c r="T22" i="1"/>
  <c r="U22" i="1" s="1"/>
  <c r="T26" i="1"/>
  <c r="U26" i="1" s="1"/>
  <c r="T31" i="1"/>
  <c r="U31" i="1" s="1"/>
  <c r="T38" i="1"/>
  <c r="U38" i="1" s="1"/>
  <c r="T37" i="1"/>
  <c r="U37" i="1" s="1"/>
  <c r="T36" i="1"/>
  <c r="U36" i="1" s="1"/>
  <c r="T35" i="1"/>
  <c r="U35" i="1" s="1"/>
  <c r="T47" i="1"/>
  <c r="U47" i="1" s="1"/>
  <c r="T51" i="1"/>
  <c r="U51" i="1" s="1"/>
  <c r="T61" i="1"/>
  <c r="U61" i="1" s="1"/>
  <c r="T66" i="1"/>
  <c r="U66" i="1" s="1"/>
  <c r="T69" i="1"/>
  <c r="U69" i="1" s="1"/>
  <c r="T78" i="1"/>
  <c r="U78" i="1" s="1"/>
  <c r="T77" i="1"/>
  <c r="U77" i="1" s="1"/>
  <c r="T76" i="1"/>
  <c r="U76" i="1" s="1"/>
  <c r="T90" i="1"/>
  <c r="U90" i="1" s="1"/>
  <c r="T104" i="1"/>
  <c r="U104" i="1" s="1"/>
  <c r="T111" i="1"/>
  <c r="U111" i="1" s="1"/>
  <c r="T122" i="1"/>
  <c r="U122" i="1" s="1"/>
  <c r="T121" i="1"/>
  <c r="U121" i="1" s="1"/>
  <c r="T120" i="1"/>
  <c r="X120" i="1" s="1"/>
  <c r="G125" i="1"/>
  <c r="G108" i="1"/>
  <c r="G92" i="1"/>
  <c r="G79" i="1"/>
  <c r="G71" i="1"/>
  <c r="G68" i="1"/>
  <c r="G58" i="1"/>
  <c r="G48" i="1"/>
  <c r="G43" i="1"/>
  <c r="G33" i="1"/>
  <c r="G24" i="1"/>
  <c r="G16" i="1"/>
  <c r="G119" i="1"/>
  <c r="G106" i="1"/>
  <c r="G91" i="1"/>
  <c r="G74" i="1"/>
  <c r="G63" i="1"/>
  <c r="G54" i="1"/>
  <c r="G42" i="1"/>
  <c r="G27" i="1"/>
  <c r="G15" i="1"/>
  <c r="G46" i="1"/>
  <c r="G53" i="1"/>
  <c r="G45" i="1"/>
  <c r="G39" i="1"/>
  <c r="G32" i="1"/>
  <c r="G57" i="1"/>
  <c r="G67" i="1"/>
  <c r="G86" i="1"/>
  <c r="G95" i="1"/>
  <c r="G85" i="1"/>
  <c r="G124" i="1"/>
  <c r="G94" i="1"/>
  <c r="G118" i="1"/>
  <c r="G123" i="1"/>
  <c r="G84" i="1"/>
  <c r="G83" i="1"/>
  <c r="G105" i="1"/>
  <c r="G20" i="1"/>
  <c r="G82" i="1"/>
  <c r="G102" i="1"/>
  <c r="G117" i="1"/>
  <c r="G112" i="1"/>
  <c r="G8" i="1"/>
  <c r="G52" i="1"/>
  <c r="G19" i="1"/>
  <c r="G23" i="1"/>
  <c r="G101" i="1"/>
  <c r="G100" i="1"/>
  <c r="G99" i="1"/>
  <c r="G70" i="1"/>
  <c r="G98" i="1"/>
  <c r="G4" i="1"/>
  <c r="G5" i="1"/>
  <c r="G7" i="1"/>
  <c r="G6" i="1"/>
  <c r="G73" i="1"/>
  <c r="G2" i="1"/>
  <c r="G3" i="1"/>
  <c r="G12" i="1"/>
  <c r="G11" i="1"/>
  <c r="G14" i="1"/>
  <c r="G18" i="1"/>
  <c r="G22" i="1"/>
  <c r="G26" i="1"/>
  <c r="G31" i="1"/>
  <c r="G38" i="1"/>
  <c r="G37" i="1"/>
  <c r="G36" i="1"/>
  <c r="G35" i="1"/>
  <c r="G47" i="1"/>
  <c r="G51" i="1"/>
  <c r="G61" i="1"/>
  <c r="G66" i="1"/>
  <c r="G69" i="1"/>
  <c r="G78" i="1"/>
  <c r="G77" i="1"/>
  <c r="G76" i="1"/>
  <c r="G90" i="1"/>
  <c r="G104" i="1"/>
  <c r="G111" i="1"/>
  <c r="G122" i="1"/>
  <c r="G121" i="1"/>
  <c r="G120" i="1"/>
  <c r="U2" i="1" l="1"/>
  <c r="U120" i="1"/>
  <c r="X75" i="1"/>
  <c r="U62" i="1"/>
  <c r="X87" i="1"/>
  <c r="U55" i="1"/>
  <c r="U113" i="1"/>
  <c r="U114" i="1"/>
  <c r="X122" i="1"/>
  <c r="X76" i="1"/>
  <c r="X66" i="1"/>
  <c r="X35" i="1"/>
  <c r="X31" i="1"/>
  <c r="X14" i="1"/>
  <c r="X2" i="1"/>
  <c r="X5" i="1"/>
  <c r="X99" i="1"/>
  <c r="X19" i="1"/>
  <c r="X117" i="1"/>
  <c r="X105" i="1"/>
  <c r="X118" i="1"/>
  <c r="X95" i="1"/>
  <c r="X32" i="1"/>
  <c r="X53" i="1"/>
  <c r="X42" i="1"/>
  <c r="X91" i="1"/>
  <c r="X24" i="1"/>
  <c r="X58" i="1"/>
  <c r="X92" i="1"/>
  <c r="X111" i="1"/>
  <c r="X77" i="1"/>
  <c r="X61" i="1"/>
  <c r="X36" i="1"/>
  <c r="X26" i="1"/>
  <c r="X11" i="1"/>
  <c r="X73" i="1"/>
  <c r="X4" i="1"/>
  <c r="X100" i="1"/>
  <c r="X52" i="1"/>
  <c r="X102" i="1"/>
  <c r="X83" i="1"/>
  <c r="X94" i="1"/>
  <c r="X86" i="1"/>
  <c r="X39" i="1"/>
  <c r="X46" i="1"/>
  <c r="X54" i="1"/>
  <c r="X106" i="1"/>
  <c r="X33" i="1"/>
  <c r="X68" i="1"/>
  <c r="X108" i="1"/>
  <c r="X104" i="1"/>
  <c r="X78" i="1"/>
  <c r="X51" i="1"/>
  <c r="X37" i="1"/>
  <c r="X22" i="1"/>
  <c r="X12" i="1"/>
  <c r="X6" i="1"/>
  <c r="X98" i="1"/>
  <c r="X101" i="1"/>
  <c r="X8" i="1"/>
  <c r="X82" i="1"/>
  <c r="X84" i="1"/>
  <c r="X124" i="1"/>
  <c r="X67" i="1"/>
  <c r="X40" i="1"/>
  <c r="X15" i="1"/>
  <c r="X63" i="1"/>
  <c r="X119" i="1"/>
  <c r="X43" i="1"/>
  <c r="X71" i="1"/>
  <c r="X125" i="1"/>
  <c r="X29" i="1"/>
  <c r="X121" i="1"/>
  <c r="X90" i="1"/>
  <c r="X69" i="1"/>
  <c r="X47" i="1"/>
  <c r="X38" i="1"/>
  <c r="X18" i="1"/>
  <c r="X3" i="1"/>
  <c r="X7" i="1"/>
  <c r="X70" i="1"/>
  <c r="X23" i="1"/>
  <c r="X112" i="1"/>
  <c r="X20" i="1"/>
  <c r="X123" i="1"/>
  <c r="X85" i="1"/>
  <c r="X57" i="1"/>
  <c r="X45" i="1"/>
  <c r="X27" i="1"/>
  <c r="X74" i="1"/>
  <c r="X16" i="1"/>
  <c r="X48" i="1"/>
  <c r="X79" i="1"/>
  <c r="X107" i="1"/>
  <c r="X88" i="1"/>
  <c r="X28" i="1"/>
  <c r="X41" i="1"/>
  <c r="X13" i="1"/>
  <c r="G65" i="1"/>
  <c r="G64" i="1"/>
  <c r="G72" i="1"/>
  <c r="G80" i="1"/>
  <c r="G81" i="1"/>
  <c r="G89" i="1"/>
  <c r="G93" i="1"/>
  <c r="G97" i="1"/>
  <c r="G96" i="1"/>
  <c r="G103" i="1"/>
  <c r="G109" i="1"/>
  <c r="G110" i="1"/>
  <c r="G116" i="1"/>
  <c r="G115" i="1"/>
  <c r="G10" i="1"/>
  <c r="G9" i="1"/>
  <c r="G17" i="1"/>
  <c r="G21" i="1"/>
  <c r="G25" i="1"/>
  <c r="G30" i="1"/>
  <c r="G34" i="1"/>
  <c r="G44" i="1"/>
  <c r="G50" i="1"/>
  <c r="G49" i="1"/>
  <c r="G56" i="1"/>
  <c r="G60" i="1"/>
  <c r="G59" i="1"/>
  <c r="T65" i="1" l="1"/>
  <c r="U65" i="1" s="1"/>
  <c r="T64" i="1"/>
  <c r="U64" i="1" s="1"/>
  <c r="T72" i="1"/>
  <c r="U72" i="1" s="1"/>
  <c r="T80" i="1"/>
  <c r="U80" i="1" s="1"/>
  <c r="T81" i="1"/>
  <c r="U81" i="1" s="1"/>
  <c r="T89" i="1"/>
  <c r="U89" i="1" s="1"/>
  <c r="T93" i="1"/>
  <c r="U93" i="1" s="1"/>
  <c r="T97" i="1"/>
  <c r="U97" i="1" s="1"/>
  <c r="T96" i="1"/>
  <c r="U96" i="1" s="1"/>
  <c r="T103" i="1"/>
  <c r="U103" i="1" s="1"/>
  <c r="T109" i="1"/>
  <c r="U109" i="1" s="1"/>
  <c r="T110" i="1"/>
  <c r="U110" i="1" s="1"/>
  <c r="T116" i="1"/>
  <c r="U116" i="1" s="1"/>
  <c r="T115" i="1"/>
  <c r="U115" i="1" s="1"/>
  <c r="T10" i="1"/>
  <c r="U10" i="1" s="1"/>
  <c r="T9" i="1"/>
  <c r="T17" i="1"/>
  <c r="U17" i="1" s="1"/>
  <c r="T21" i="1"/>
  <c r="U21" i="1" s="1"/>
  <c r="T25" i="1"/>
  <c r="U25" i="1" s="1"/>
  <c r="T30" i="1"/>
  <c r="U30" i="1" s="1"/>
  <c r="T34" i="1"/>
  <c r="U34" i="1" s="1"/>
  <c r="T44" i="1"/>
  <c r="U44" i="1" s="1"/>
  <c r="T50" i="1"/>
  <c r="U50" i="1" s="1"/>
  <c r="T49" i="1"/>
  <c r="U49" i="1" s="1"/>
  <c r="T56" i="1"/>
  <c r="U56" i="1" s="1"/>
  <c r="T60" i="1"/>
  <c r="U60" i="1" s="1"/>
  <c r="T59" i="1"/>
  <c r="U9" i="1" l="1"/>
  <c r="T5000" i="1"/>
  <c r="U59" i="1"/>
  <c r="X9" i="1"/>
  <c r="X49" i="1"/>
  <c r="X81" i="1"/>
  <c r="X89" i="1"/>
  <c r="X64" i="1"/>
  <c r="X65" i="1"/>
  <c r="X116" i="1"/>
  <c r="X109" i="1"/>
  <c r="X25" i="1"/>
  <c r="X59" i="1"/>
  <c r="U5000" i="1" l="1"/>
  <c r="X50" i="1"/>
  <c r="X10" i="1"/>
  <c r="X56" i="1"/>
  <c r="X21" i="1"/>
  <c r="X30" i="1"/>
  <c r="X110" i="1"/>
  <c r="X60" i="1"/>
  <c r="X44" i="1"/>
  <c r="X93" i="1"/>
  <c r="X97" i="1"/>
  <c r="X96" i="1"/>
  <c r="X34" i="1"/>
  <c r="X17" i="1"/>
  <c r="X103" i="1"/>
  <c r="X115" i="1"/>
  <c r="X80" i="1"/>
  <c r="X72" i="1"/>
</calcChain>
</file>

<file path=xl/comments1.xml><?xml version="1.0" encoding="utf-8"?>
<comments xmlns="http://schemas.openxmlformats.org/spreadsheetml/2006/main">
  <authors>
    <author>despacho rivas</author>
    <author>Lenovo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  <comment ref="L126" authorId="1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CUENTA POR COBRAR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CORRELATIVO INICIO: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 xml:space="preserve">CORRELATIVO FINAL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CORRELATIVO INICIO: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 xml:space="preserve">CORRELATIVO FINAL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>
      <text>
        <r>
          <rPr>
            <sz val="9"/>
            <color indexed="81"/>
            <rFont val="Tahoma"/>
            <family val="2"/>
          </rPr>
          <t xml:space="preserve">VENTAS NO SUJETAS A PROPORCIONALIDAD
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VENTAS LOCALES GRAVADAS:</t>
        </r>
        <r>
          <rPr>
            <sz val="9"/>
            <color indexed="81"/>
            <rFont val="Tahoma"/>
            <family val="2"/>
          </rPr>
          <t xml:space="preserve">
ESTAS VENTAS INCLUYEN IVA</t>
        </r>
      </text>
    </comment>
    <comment ref="V1" authorId="0">
      <text>
        <r>
          <rPr>
            <sz val="9"/>
            <color indexed="81"/>
            <rFont val="Tahoma"/>
            <family val="2"/>
          </rPr>
          <t xml:space="preserve">ANEXO PARA CONSUMIDOR SIEMPRE ES 2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FECHA:
00/00/2021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CLASE DE DOCUMENTO:</t>
        </r>
        <r>
          <rPr>
            <sz val="9"/>
            <color indexed="81"/>
            <rFont val="Tahoma"/>
            <family val="2"/>
          </rPr>
          <t xml:space="preserve">
1 IMPRESO POR IMPRENTA
2 FORMULARIO UNICO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TIPO DE DOC:
03 CCF
05 NC
06 ND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RESOLUCION:</t>
        </r>
        <r>
          <rPr>
            <sz val="9"/>
            <color indexed="81"/>
            <rFont val="Tahoma"/>
            <family val="2"/>
          </rPr>
          <t xml:space="preserve">
15041RESCR00002021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SERIE DEL DOCUMENTO:</t>
        </r>
        <r>
          <rPr>
            <sz val="9"/>
            <color indexed="81"/>
            <rFont val="Tahoma"/>
            <family val="2"/>
          </rPr>
          <t xml:space="preserve">
00SD000C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CONTROL INTERNO:</t>
        </r>
        <r>
          <rPr>
            <sz val="9"/>
            <color indexed="81"/>
            <rFont val="Tahoma"/>
            <family val="2"/>
          </rPr>
          <t xml:space="preserve">
ES EL MISMO NUMERO DE DOCUMENTO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VENTA EXENTA: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0">
      <text>
        <r>
          <rPr>
            <sz val="9"/>
            <color indexed="81"/>
            <rFont val="Tahoma"/>
            <family val="2"/>
          </rPr>
          <t>VENTA NO SUJETA
SINO HAY 0.00</t>
        </r>
      </text>
    </comment>
    <comment ref="W1" authorId="0">
      <text>
        <r>
          <rPr>
            <b/>
            <sz val="9"/>
            <color indexed="81"/>
            <rFont val="Tahoma"/>
            <family val="2"/>
          </rPr>
          <t>NUMERO DE ANEXO:</t>
        </r>
        <r>
          <rPr>
            <sz val="9"/>
            <color indexed="81"/>
            <rFont val="Tahoma"/>
            <family val="2"/>
          </rPr>
          <t xml:space="preserve">
SIEMPRE SERA 1</t>
        </r>
      </text>
    </comment>
  </commentList>
</comments>
</file>

<file path=xl/sharedStrings.xml><?xml version="1.0" encoding="utf-8"?>
<sst xmlns="http://schemas.openxmlformats.org/spreadsheetml/2006/main" count="13974" uniqueCount="1405">
  <si>
    <t>03</t>
  </si>
  <si>
    <t>1</t>
  </si>
  <si>
    <t>0.00</t>
  </si>
  <si>
    <t>3</t>
  </si>
  <si>
    <t>FECHA</t>
  </si>
  <si>
    <t>CLASE DE DOC</t>
  </si>
  <si>
    <t>TIPO DE DOC</t>
  </si>
  <si>
    <t>CORRELATIVO</t>
  </si>
  <si>
    <t>NIT PROV</t>
  </si>
  <si>
    <t>NOMBRE DEL PROVEEDOR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</si>
  <si>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</si>
  <si>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</si>
  <si>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</si>
  <si>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</si>
  <si>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</si>
  <si>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</si>
  <si>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</si>
  <si>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</si>
  <si>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</si>
  <si>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</si>
  <si>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02101911710016</t>
  </si>
  <si>
    <t>06140108580017</t>
  </si>
  <si>
    <t>MES</t>
  </si>
  <si>
    <t>MARZO</t>
  </si>
  <si>
    <t>06141403161033</t>
  </si>
  <si>
    <t>27</t>
  </si>
  <si>
    <t>17</t>
  </si>
  <si>
    <t>10</t>
  </si>
  <si>
    <t>06142410141010</t>
  </si>
  <si>
    <t>06143001780012</t>
  </si>
  <si>
    <t>2021</t>
  </si>
  <si>
    <t>/</t>
  </si>
  <si>
    <t>DIA</t>
  </si>
  <si>
    <t>06</t>
  </si>
  <si>
    <t>09</t>
  </si>
  <si>
    <t>29</t>
  </si>
  <si>
    <t>22</t>
  </si>
  <si>
    <t>19</t>
  </si>
  <si>
    <t>08</t>
  </si>
  <si>
    <t>15</t>
  </si>
  <si>
    <t>11</t>
  </si>
  <si>
    <t>23</t>
  </si>
  <si>
    <t>25</t>
  </si>
  <si>
    <t>02</t>
  </si>
  <si>
    <t>26</t>
  </si>
  <si>
    <t>05111703630014</t>
  </si>
  <si>
    <t>74096</t>
  </si>
  <si>
    <t>74248</t>
  </si>
  <si>
    <t>13</t>
  </si>
  <si>
    <t>73773</t>
  </si>
  <si>
    <t>12</t>
  </si>
  <si>
    <t>73458</t>
  </si>
  <si>
    <t>73649</t>
  </si>
  <si>
    <t>73157</t>
  </si>
  <si>
    <t>72676</t>
  </si>
  <si>
    <t>72198</t>
  </si>
  <si>
    <t>05</t>
  </si>
  <si>
    <t>72051</t>
  </si>
  <si>
    <t>04</t>
  </si>
  <si>
    <t>71649</t>
  </si>
  <si>
    <t>71547</t>
  </si>
  <si>
    <t>01</t>
  </si>
  <si>
    <t>70861</t>
  </si>
  <si>
    <t>71017</t>
  </si>
  <si>
    <t>30</t>
  </si>
  <si>
    <t>2897</t>
  </si>
  <si>
    <t>2806</t>
  </si>
  <si>
    <t>2471</t>
  </si>
  <si>
    <t>28</t>
  </si>
  <si>
    <t>2336</t>
  </si>
  <si>
    <t>1979</t>
  </si>
  <si>
    <t>1716</t>
  </si>
  <si>
    <t>1554</t>
  </si>
  <si>
    <t>24</t>
  </si>
  <si>
    <t>1372</t>
  </si>
  <si>
    <t>1237</t>
  </si>
  <si>
    <t>940</t>
  </si>
  <si>
    <t>21</t>
  </si>
  <si>
    <t>645</t>
  </si>
  <si>
    <t>266</t>
  </si>
  <si>
    <t>74656</t>
  </si>
  <si>
    <t>74756</t>
  </si>
  <si>
    <t>31</t>
  </si>
  <si>
    <t>139538</t>
  </si>
  <si>
    <t>139520</t>
  </si>
  <si>
    <t>139488</t>
  </si>
  <si>
    <t>139163</t>
  </si>
  <si>
    <t>138784</t>
  </si>
  <si>
    <t>138470</t>
  </si>
  <si>
    <t>20</t>
  </si>
  <si>
    <t>138083</t>
  </si>
  <si>
    <t>138024</t>
  </si>
  <si>
    <t>138022</t>
  </si>
  <si>
    <t>18</t>
  </si>
  <si>
    <t>137797</t>
  </si>
  <si>
    <t>137611</t>
  </si>
  <si>
    <t>137250</t>
  </si>
  <si>
    <t>136905</t>
  </si>
  <si>
    <t>136823</t>
  </si>
  <si>
    <t>136436</t>
  </si>
  <si>
    <t>136423</t>
  </si>
  <si>
    <t>136422</t>
  </si>
  <si>
    <t>136371</t>
  </si>
  <si>
    <t>136188</t>
  </si>
  <si>
    <t>135999</t>
  </si>
  <si>
    <t>135871</t>
  </si>
  <si>
    <t>135723</t>
  </si>
  <si>
    <t>135672</t>
  </si>
  <si>
    <t>135436</t>
  </si>
  <si>
    <t>552</t>
  </si>
  <si>
    <t>06142403770051</t>
  </si>
  <si>
    <t>103743</t>
  </si>
  <si>
    <t>06142302770010</t>
  </si>
  <si>
    <t>103597</t>
  </si>
  <si>
    <t>8544</t>
  </si>
  <si>
    <t>09042007670016</t>
  </si>
  <si>
    <t>305</t>
  </si>
  <si>
    <t>05091606111014</t>
  </si>
  <si>
    <t>130</t>
  </si>
  <si>
    <t>09030806550024</t>
  </si>
  <si>
    <t>105667</t>
  </si>
  <si>
    <t>104673</t>
  </si>
  <si>
    <t>12083</t>
  </si>
  <si>
    <t>06140205031020</t>
  </si>
  <si>
    <t>137769</t>
  </si>
  <si>
    <t>6519</t>
  </si>
  <si>
    <t>06142805011034</t>
  </si>
  <si>
    <t>6520</t>
  </si>
  <si>
    <t>6518</t>
  </si>
  <si>
    <t>4913021</t>
  </si>
  <si>
    <t>06140806720015</t>
  </si>
  <si>
    <t>304</t>
  </si>
  <si>
    <t>06141306680052</t>
  </si>
  <si>
    <t>3638</t>
  </si>
  <si>
    <t>06140602031037</t>
  </si>
  <si>
    <t>3549287</t>
  </si>
  <si>
    <t>06142610981012</t>
  </si>
  <si>
    <t>276</t>
  </si>
  <si>
    <t>06142610201025</t>
  </si>
  <si>
    <t>410</t>
  </si>
  <si>
    <t>06023010921017</t>
  </si>
  <si>
    <t>407</t>
  </si>
  <si>
    <t>82</t>
  </si>
  <si>
    <t>06141408711090</t>
  </si>
  <si>
    <t>8890</t>
  </si>
  <si>
    <t>06140804161013</t>
  </si>
  <si>
    <t>6335</t>
  </si>
  <si>
    <t>6352</t>
  </si>
  <si>
    <t>60970</t>
  </si>
  <si>
    <t>06141008901028</t>
  </si>
  <si>
    <t>16665</t>
  </si>
  <si>
    <t>05112411991017</t>
  </si>
  <si>
    <t>139320</t>
  </si>
  <si>
    <t>13083</t>
  </si>
  <si>
    <t>06141409121050</t>
  </si>
  <si>
    <t>751331</t>
  </si>
  <si>
    <t>6040695</t>
  </si>
  <si>
    <t>12171609921018</t>
  </si>
  <si>
    <t>6040686</t>
  </si>
  <si>
    <t>16290</t>
  </si>
  <si>
    <t>5638</t>
  </si>
  <si>
    <t>02102701001014</t>
  </si>
  <si>
    <t>201862010</t>
  </si>
  <si>
    <t>5757</t>
  </si>
  <si>
    <t>740786</t>
  </si>
  <si>
    <t>740773</t>
  </si>
  <si>
    <t>11659</t>
  </si>
  <si>
    <t>06143108061020</t>
  </si>
  <si>
    <t>2877</t>
  </si>
  <si>
    <t>06141703061090</t>
  </si>
  <si>
    <t>67066</t>
  </si>
  <si>
    <t>976</t>
  </si>
  <si>
    <t>06140212971020</t>
  </si>
  <si>
    <t>1002</t>
  </si>
  <si>
    <t>1021</t>
  </si>
  <si>
    <t>1053</t>
  </si>
  <si>
    <t>16</t>
  </si>
  <si>
    <t>1085</t>
  </si>
  <si>
    <t>1115</t>
  </si>
  <si>
    <t>1144</t>
  </si>
  <si>
    <t>1165</t>
  </si>
  <si>
    <t>1193</t>
  </si>
  <si>
    <t>983</t>
  </si>
  <si>
    <t>999</t>
  </si>
  <si>
    <t>1012</t>
  </si>
  <si>
    <t>1031</t>
  </si>
  <si>
    <t>1047</t>
  </si>
  <si>
    <t>1072</t>
  </si>
  <si>
    <t>1093</t>
  </si>
  <si>
    <t>1110</t>
  </si>
  <si>
    <t>1134</t>
  </si>
  <si>
    <t>1150</t>
  </si>
  <si>
    <t>1181</t>
  </si>
  <si>
    <t>1200</t>
  </si>
  <si>
    <t>973</t>
  </si>
  <si>
    <t>1020</t>
  </si>
  <si>
    <t>1082</t>
  </si>
  <si>
    <t>1141</t>
  </si>
  <si>
    <t>1191</t>
  </si>
  <si>
    <t>1007</t>
  </si>
  <si>
    <t>1062</t>
  </si>
  <si>
    <t>1120</t>
  </si>
  <si>
    <t>1140</t>
  </si>
  <si>
    <t>1173</t>
  </si>
  <si>
    <t>1190</t>
  </si>
  <si>
    <t>1008</t>
  </si>
  <si>
    <t>329</t>
  </si>
  <si>
    <t>0104</t>
  </si>
  <si>
    <t>ABRIL</t>
  </si>
  <si>
    <t>0904</t>
  </si>
  <si>
    <t>297202</t>
  </si>
  <si>
    <t>06141202620014</t>
  </si>
  <si>
    <t>0</t>
  </si>
  <si>
    <t>06141210830014</t>
  </si>
  <si>
    <t>209</t>
  </si>
  <si>
    <t>20SD000C</t>
  </si>
  <si>
    <t>15041RESIN308102020</t>
  </si>
  <si>
    <t>06143107971090</t>
  </si>
  <si>
    <t>208</t>
  </si>
  <si>
    <t>06141206740014</t>
  </si>
  <si>
    <t>199</t>
  </si>
  <si>
    <t>06143112510011</t>
  </si>
  <si>
    <t>197</t>
  </si>
  <si>
    <t>195</t>
  </si>
  <si>
    <t>06142510021011</t>
  </si>
  <si>
    <t>194</t>
  </si>
  <si>
    <t>06141512001054</t>
  </si>
  <si>
    <t>193</t>
  </si>
  <si>
    <t>06140909921072</t>
  </si>
  <si>
    <t>192</t>
  </si>
  <si>
    <t>06140101850027</t>
  </si>
  <si>
    <t>187</t>
  </si>
  <si>
    <t>220</t>
  </si>
  <si>
    <t>06141511720027</t>
  </si>
  <si>
    <t>186</t>
  </si>
  <si>
    <t>06142910131029</t>
  </si>
  <si>
    <t>183</t>
  </si>
  <si>
    <t>06140104620021</t>
  </si>
  <si>
    <t>180</t>
  </si>
  <si>
    <t>06142703780037</t>
  </si>
  <si>
    <t>179</t>
  </si>
  <si>
    <t>177</t>
  </si>
  <si>
    <t>176</t>
  </si>
  <si>
    <t>210</t>
  </si>
  <si>
    <t>211</t>
  </si>
  <si>
    <t>212</t>
  </si>
  <si>
    <t>213</t>
  </si>
  <si>
    <t>06142301690017</t>
  </si>
  <si>
    <t>214</t>
  </si>
  <si>
    <t>06140202021024</t>
  </si>
  <si>
    <t>215</t>
  </si>
  <si>
    <t>216</t>
  </si>
  <si>
    <t>06143101550016</t>
  </si>
  <si>
    <t>217</t>
  </si>
  <si>
    <t>218</t>
  </si>
  <si>
    <t>219</t>
  </si>
  <si>
    <t>00</t>
  </si>
  <si>
    <t>221</t>
  </si>
  <si>
    <t>06142411181015</t>
  </si>
  <si>
    <t>222</t>
  </si>
  <si>
    <t>223</t>
  </si>
  <si>
    <t>06141111931016</t>
  </si>
  <si>
    <t>225</t>
  </si>
  <si>
    <t>226</t>
  </si>
  <si>
    <t>227</t>
  </si>
  <si>
    <t>228</t>
  </si>
  <si>
    <t>229</t>
  </si>
  <si>
    <t>230</t>
  </si>
  <si>
    <t>231</t>
  </si>
  <si>
    <t>06142808031087</t>
  </si>
  <si>
    <t>232</t>
  </si>
  <si>
    <t>234</t>
  </si>
  <si>
    <t>237</t>
  </si>
  <si>
    <t>238</t>
  </si>
  <si>
    <t>239</t>
  </si>
  <si>
    <t>241</t>
  </si>
  <si>
    <t>ANEXO</t>
  </si>
  <si>
    <t>TOTAL VENTA</t>
  </si>
  <si>
    <t>D. FISCAL A 3</t>
  </si>
  <si>
    <t>V CTA DE 3</t>
  </si>
  <si>
    <t>D.FISCAL</t>
  </si>
  <si>
    <t>V. GRAVADA</t>
  </si>
  <si>
    <t>VENTA NO S</t>
  </si>
  <si>
    <t>VE</t>
  </si>
  <si>
    <t>NOMBRE RAZON SOCIAL O DENOMINACION</t>
  </si>
  <si>
    <t>NIT DE CLIENTE</t>
  </si>
  <si>
    <t>CONTROL</t>
  </si>
  <si>
    <t>N° DOC</t>
  </si>
  <si>
    <t xml:space="preserve">SERIE </t>
  </si>
  <si>
    <t>N° DE RESOLUCION</t>
  </si>
  <si>
    <t>GRUPO PAILL S.A DE C.V.</t>
  </si>
  <si>
    <t>DIDEA S.A DE C.V.</t>
  </si>
  <si>
    <t>PINTURA Y ENDEREZADO S.A DE C.V.</t>
  </si>
  <si>
    <t>HOTELES S.A DE C.V.</t>
  </si>
  <si>
    <t>PROGURSA S.A DE C.V.</t>
  </si>
  <si>
    <t>SUPER REPUESTOS EL SALVADOR S.A DE C.V.</t>
  </si>
  <si>
    <t>UNILEVER EL SALVADOR SCC S.A DE C.V.</t>
  </si>
  <si>
    <t>INGENIERIA BEM S.A DE C.V.</t>
  </si>
  <si>
    <t>NEMTEX S.A DE C.V.</t>
  </si>
  <si>
    <t>POLYBAG S.A DE C.V.</t>
  </si>
  <si>
    <t>ENMANUEL S.A DE C.V.</t>
  </si>
  <si>
    <t>INVERSIONES STANLEY PACIFICO S.A DE C.V.</t>
  </si>
  <si>
    <t>LA CONSTANCIA LTDA DE C.V.</t>
  </si>
  <si>
    <t>INDUSTRIAS MIKE MIKE S.A DE C.V.</t>
  </si>
  <si>
    <t>06141009650016</t>
  </si>
  <si>
    <t>NEGOCIOS CAMYRAM S.A DE C.V</t>
  </si>
  <si>
    <t>PRODUCTOS CARNICOS S.A DE C.V.</t>
  </si>
  <si>
    <t>SERVICORP S.A DE C.V</t>
  </si>
  <si>
    <t>06142801141049</t>
  </si>
  <si>
    <t>SARA ALFARO CASTRO</t>
  </si>
  <si>
    <t>06152309490011</t>
  </si>
  <si>
    <t>RINA ALFARO CASTRO</t>
  </si>
  <si>
    <t>03151403510011</t>
  </si>
  <si>
    <t>ORGANIKA S.A DE C.V</t>
  </si>
  <si>
    <t>06141909031057</t>
  </si>
  <si>
    <t>CARDEU S.A DE C.V</t>
  </si>
  <si>
    <t>06141603131023</t>
  </si>
  <si>
    <t>MOISES ELIAS CARCAMO</t>
  </si>
  <si>
    <t>11151906460011</t>
  </si>
  <si>
    <t>JIMMY EDGARDO CALERO MARAVILLA</t>
  </si>
  <si>
    <t>11061508801026</t>
  </si>
  <si>
    <t>O &amp; M MANTENIMIENTO Y SERVICIOS S.A DE C.V</t>
  </si>
  <si>
    <t>06141506941061</t>
  </si>
  <si>
    <t>FONDO DE TITULARIZACION DE INMUEBLES</t>
  </si>
  <si>
    <t>05012309191010</t>
  </si>
  <si>
    <t>EDIFICACION, CONSTRUCCION, Y ASESORIA S.A DE C.V</t>
  </si>
  <si>
    <t>06141306161010</t>
  </si>
  <si>
    <t>INMUEBLES S.A DE C.V</t>
  </si>
  <si>
    <t>06140907680011</t>
  </si>
  <si>
    <t>OFG EL SALVADOR S.A DE C.V</t>
  </si>
  <si>
    <t>06142002151023</t>
  </si>
  <si>
    <t>JESV INC SUCURSAL EL SALVADOR</t>
  </si>
  <si>
    <t>94500501121011</t>
  </si>
  <si>
    <t>ADINCE S.A DE C.V.</t>
  </si>
  <si>
    <t>06141810901033</t>
  </si>
  <si>
    <t>A.C.P.A COMUNIDADES UNIDAS DE RL</t>
  </si>
  <si>
    <t>08150905750014</t>
  </si>
  <si>
    <t>CASA BAZZYNI S.A DE C.V.</t>
  </si>
  <si>
    <t>06140702921021</t>
  </si>
  <si>
    <t>EXPORTADORA PACAS MARTINEZ</t>
  </si>
  <si>
    <t>05150706911014</t>
  </si>
  <si>
    <t>LLANTAS Y ACCESORIOS</t>
  </si>
  <si>
    <t>06141502131049</t>
  </si>
  <si>
    <t>ASFALTOS DE CENTROAMERICA S.A DE C.V.</t>
  </si>
  <si>
    <t>06142607780022</t>
  </si>
  <si>
    <t>PEDRERA PROTERSA S.A DE C.V.</t>
  </si>
  <si>
    <t>06143101750030</t>
  </si>
  <si>
    <t>AGROINDUSTRIA CENTROAMERICANA</t>
  </si>
  <si>
    <t>06141210001020</t>
  </si>
  <si>
    <t>DISTRIBUIDORA DE EQUIPOS Y SERVICIOS</t>
  </si>
  <si>
    <t>06142711201018</t>
  </si>
  <si>
    <t>DEL TROPICFOOD S.A DE C.V.</t>
  </si>
  <si>
    <t>06142706881019</t>
  </si>
  <si>
    <t>BORGONOVO POHL S.A DE C.V.</t>
  </si>
  <si>
    <t>06141703710012</t>
  </si>
  <si>
    <t>RAMIREZ VENTURA S.A DE C.V</t>
  </si>
  <si>
    <t>06141909001034</t>
  </si>
  <si>
    <t>IMPORTADORA DE FRUTAS S.A DE C.V.</t>
  </si>
  <si>
    <t>06140702971037</t>
  </si>
  <si>
    <t>CAFECOYO S.A DE C.V.</t>
  </si>
  <si>
    <t>06143105790034</t>
  </si>
  <si>
    <t>ANULADO</t>
  </si>
  <si>
    <t>OSCAR HERIBERTO QUINTANILLA HERNANDEZ</t>
  </si>
  <si>
    <t>06081603661011</t>
  </si>
  <si>
    <t>TECNUTRAL S.A DE C.V</t>
  </si>
  <si>
    <t>06142307860012</t>
  </si>
  <si>
    <t>MILTON RAFAEL PANIAGUA AGUILAR</t>
  </si>
  <si>
    <t>05032407751016</t>
  </si>
  <si>
    <t>NOBS HIDRODIFUCION</t>
  </si>
  <si>
    <t>06140102840029</t>
  </si>
  <si>
    <t>TEJEMET S.A DE C.V.</t>
  </si>
  <si>
    <t>02103009931016</t>
  </si>
  <si>
    <t>GORCO LIMITADO S.A DE C.V.</t>
  </si>
  <si>
    <t>05151409041015</t>
  </si>
  <si>
    <t>LUIS ALBERTO HERNANDEZ ALDANA</t>
  </si>
  <si>
    <t>09082608580010</t>
  </si>
  <si>
    <t>MCCORMICK TRACTORES DE CENTROAMERICA</t>
  </si>
  <si>
    <t>06141112201046</t>
  </si>
  <si>
    <t>CORPORIN S.A DE C.V.</t>
  </si>
  <si>
    <t>06142610790018</t>
  </si>
  <si>
    <t>MANUEL DE JESUS AGUIRRE ACOSTA</t>
  </si>
  <si>
    <t>03010907741016</t>
  </si>
  <si>
    <t>SARAN S.A DE C.V.</t>
  </si>
  <si>
    <t>06142910640026</t>
  </si>
  <si>
    <t>ACNEPRO S.A DE C.V.</t>
  </si>
  <si>
    <t>06142112951025</t>
  </si>
  <si>
    <t>ERICK ARMANDO BARAHONA</t>
  </si>
  <si>
    <t>05071611851017</t>
  </si>
  <si>
    <t>GASPRO DE EL SALVADOR S.A DE C.V.</t>
  </si>
  <si>
    <t>05010702161018</t>
  </si>
  <si>
    <t>PRODUCTOS DE BIOMASA S.A DE C.V.</t>
  </si>
  <si>
    <t>06143005191030</t>
  </si>
  <si>
    <t>COOP DE CAFETALEROS SIGLO XXI</t>
  </si>
  <si>
    <t>06141703001046</t>
  </si>
  <si>
    <t>ROBERTO ELIAS RODRIGUEZ</t>
  </si>
  <si>
    <t>03151505691015</t>
  </si>
  <si>
    <t>SYMTEK S.A DE C.V.</t>
  </si>
  <si>
    <t>02100808071012</t>
  </si>
  <si>
    <t>LEOS S.A DE C.V.</t>
  </si>
  <si>
    <t>06142506941050</t>
  </si>
  <si>
    <t>AMERICAN PETROLEUM DE EL SALVADOR</t>
  </si>
  <si>
    <t>06143006991020</t>
  </si>
  <si>
    <t>MEGABLOCK S.A DE C.V.</t>
  </si>
  <si>
    <t>06142704091010</t>
  </si>
  <si>
    <t>MOTORES Y VEHICULOS S.A DE C.V.</t>
  </si>
  <si>
    <t>06141208131022</t>
  </si>
  <si>
    <t>MIRIAM HARDEE ESCOBAR</t>
  </si>
  <si>
    <t>03122006771016</t>
  </si>
  <si>
    <t>CONSTRUCTORA DISA S.A DE C.V.</t>
  </si>
  <si>
    <t>06141910840030</t>
  </si>
  <si>
    <t>KEVIN ROLANDO SOFOCLES RECINOS</t>
  </si>
  <si>
    <t>03061811941018</t>
  </si>
  <si>
    <t>JOSE ANGEL VALENCIA PEREZ</t>
  </si>
  <si>
    <t>05121506660010</t>
  </si>
  <si>
    <t>EL GRANJERO S.A DE C.V.</t>
  </si>
  <si>
    <t>06140101680020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</si>
  <si>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</si>
  <si>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</si>
  <si>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</si>
  <si>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</si>
  <si>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</si>
  <si>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</si>
  <si>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</si>
  <si>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</si>
  <si>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</si>
  <si>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</si>
  <si>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</si>
  <si>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</si>
  <si>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</si>
  <si>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</si>
  <si>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</si>
  <si>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</si>
  <si>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</si>
  <si>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</si>
  <si>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</si>
  <si>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</si>
  <si>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</si>
  <si>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</si>
  <si>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</si>
  <si>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</si>
  <si>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</si>
  <si>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</si>
  <si>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</si>
  <si>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</si>
  <si>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</si>
  <si>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</si>
  <si>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</si>
  <si>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</si>
  <si>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</si>
  <si>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</si>
  <si>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</si>
  <si>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</si>
  <si>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</si>
  <si>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</si>
  <si>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</si>
  <si>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</si>
  <si>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</si>
  <si>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103</t>
  </si>
  <si>
    <t>18SD000F</t>
  </si>
  <si>
    <t>15041RESIN197732018</t>
  </si>
  <si>
    <t>17/03/2021</t>
  </si>
  <si>
    <t>107</t>
  </si>
  <si>
    <t>106</t>
  </si>
  <si>
    <t>04/03/2021</t>
  </si>
  <si>
    <t>105</t>
  </si>
  <si>
    <t>34</t>
  </si>
  <si>
    <t>18SD000X</t>
  </si>
  <si>
    <t>15041RESIN437882018</t>
  </si>
  <si>
    <t>03/03/2021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</si>
  <si>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</si>
  <si>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</si>
  <si>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</si>
  <si>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</si>
  <si>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</si>
  <si>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</si>
  <si>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</si>
  <si>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</si>
  <si>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</si>
  <si>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</si>
  <si>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</si>
  <si>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</si>
  <si>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</si>
  <si>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</si>
  <si>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0204</t>
  </si>
  <si>
    <t>3351</t>
  </si>
  <si>
    <t>0504</t>
  </si>
  <si>
    <t>3652</t>
  </si>
  <si>
    <t>3661</t>
  </si>
  <si>
    <t>3850</t>
  </si>
  <si>
    <t>0704</t>
  </si>
  <si>
    <t>4367</t>
  </si>
  <si>
    <t>0804</t>
  </si>
  <si>
    <t>4519</t>
  </si>
  <si>
    <t>4759</t>
  </si>
  <si>
    <t>4870</t>
  </si>
  <si>
    <t>1004</t>
  </si>
  <si>
    <t>4984</t>
  </si>
  <si>
    <t>1204</t>
  </si>
  <si>
    <t>5499</t>
  </si>
  <si>
    <t>1304</t>
  </si>
  <si>
    <t>5644</t>
  </si>
  <si>
    <t>1404</t>
  </si>
  <si>
    <t>6022</t>
  </si>
  <si>
    <t>1504</t>
  </si>
  <si>
    <t>6079</t>
  </si>
  <si>
    <t>1604</t>
  </si>
  <si>
    <t>6353</t>
  </si>
  <si>
    <t>1704</t>
  </si>
  <si>
    <t>6789</t>
  </si>
  <si>
    <t>1804</t>
  </si>
  <si>
    <t>6926</t>
  </si>
  <si>
    <t>2404</t>
  </si>
  <si>
    <t>7337</t>
  </si>
  <si>
    <t>2004</t>
  </si>
  <si>
    <t>7356</t>
  </si>
  <si>
    <t>7365</t>
  </si>
  <si>
    <t>7378</t>
  </si>
  <si>
    <t>7498</t>
  </si>
  <si>
    <t>2204</t>
  </si>
  <si>
    <t>8046</t>
  </si>
  <si>
    <t>8053</t>
  </si>
  <si>
    <t>8536</t>
  </si>
  <si>
    <t>2504</t>
  </si>
  <si>
    <t>8668</t>
  </si>
  <si>
    <t>2704</t>
  </si>
  <si>
    <t>9066</t>
  </si>
  <si>
    <t>9132</t>
  </si>
  <si>
    <t>9177</t>
  </si>
  <si>
    <t>2904</t>
  </si>
  <si>
    <t>9724</t>
  </si>
  <si>
    <t>3004</t>
  </si>
  <si>
    <t>9826</t>
  </si>
  <si>
    <t>2104</t>
  </si>
  <si>
    <t>73140</t>
  </si>
  <si>
    <t>06142307091063</t>
  </si>
  <si>
    <t>143491</t>
  </si>
  <si>
    <t>2804</t>
  </si>
  <si>
    <t>143199</t>
  </si>
  <si>
    <t>143075</t>
  </si>
  <si>
    <t>2604</t>
  </si>
  <si>
    <t>142890</t>
  </si>
  <si>
    <t>142721</t>
  </si>
  <si>
    <t>142458</t>
  </si>
  <si>
    <t>142451</t>
  </si>
  <si>
    <t>1904</t>
  </si>
  <si>
    <t>141906</t>
  </si>
  <si>
    <t>141514</t>
  </si>
  <si>
    <t>141225</t>
  </si>
  <si>
    <t>141179</t>
  </si>
  <si>
    <t>141032</t>
  </si>
  <si>
    <t>140263</t>
  </si>
  <si>
    <t>0604</t>
  </si>
  <si>
    <t>140080</t>
  </si>
  <si>
    <t>139983</t>
  </si>
  <si>
    <t>139938</t>
  </si>
  <si>
    <t>1710</t>
  </si>
  <si>
    <t>06142209111080</t>
  </si>
  <si>
    <t>1803</t>
  </si>
  <si>
    <t>5641</t>
  </si>
  <si>
    <t>2503</t>
  </si>
  <si>
    <t>107516</t>
  </si>
  <si>
    <t>2303</t>
  </si>
  <si>
    <t>107321</t>
  </si>
  <si>
    <t>107332</t>
  </si>
  <si>
    <t>167</t>
  </si>
  <si>
    <t>11220301630016</t>
  </si>
  <si>
    <t>1534</t>
  </si>
  <si>
    <t>06140304941160</t>
  </si>
  <si>
    <t>1786596</t>
  </si>
  <si>
    <t>155</t>
  </si>
  <si>
    <t>06141901191039</t>
  </si>
  <si>
    <t>3103</t>
  </si>
  <si>
    <t>3264915</t>
  </si>
  <si>
    <t>6040881</t>
  </si>
  <si>
    <t>806982</t>
  </si>
  <si>
    <t>06142303911015</t>
  </si>
  <si>
    <t>7362</t>
  </si>
  <si>
    <t>270737</t>
  </si>
  <si>
    <t>755766</t>
  </si>
  <si>
    <t>12909</t>
  </si>
  <si>
    <t>6307</t>
  </si>
  <si>
    <t>768784</t>
  </si>
  <si>
    <t>06141312850038</t>
  </si>
  <si>
    <t>19793</t>
  </si>
  <si>
    <t>745176</t>
  </si>
  <si>
    <t>3553</t>
  </si>
  <si>
    <t>05110205951057</t>
  </si>
  <si>
    <t>10091907771010</t>
  </si>
  <si>
    <t>381</t>
  </si>
  <si>
    <t>39411</t>
  </si>
  <si>
    <t>12172509901024</t>
  </si>
  <si>
    <t>35642</t>
  </si>
  <si>
    <t>1212</t>
  </si>
  <si>
    <t>1231</t>
  </si>
  <si>
    <t>1259</t>
  </si>
  <si>
    <t>1283</t>
  </si>
  <si>
    <t>1311</t>
  </si>
  <si>
    <t>1342</t>
  </si>
  <si>
    <t>2304</t>
  </si>
  <si>
    <t>1379</t>
  </si>
  <si>
    <t>1449</t>
  </si>
  <si>
    <t>1408</t>
  </si>
  <si>
    <t>1214</t>
  </si>
  <si>
    <t>1215</t>
  </si>
  <si>
    <t>1236</t>
  </si>
  <si>
    <t>1258</t>
  </si>
  <si>
    <t>1271</t>
  </si>
  <si>
    <t>1288</t>
  </si>
  <si>
    <t>1319</t>
  </si>
  <si>
    <t>1326</t>
  </si>
  <si>
    <t>1361</t>
  </si>
  <si>
    <t>1374</t>
  </si>
  <si>
    <t>1397</t>
  </si>
  <si>
    <t>1420</t>
  </si>
  <si>
    <t>1439</t>
  </si>
  <si>
    <t>1227</t>
  </si>
  <si>
    <t>1280</t>
  </si>
  <si>
    <t>1337</t>
  </si>
  <si>
    <t>1405</t>
  </si>
  <si>
    <t>1458</t>
  </si>
  <si>
    <t>1213</t>
  </si>
  <si>
    <t>1228</t>
  </si>
  <si>
    <t>1266</t>
  </si>
  <si>
    <t>1289</t>
  </si>
  <si>
    <t>1336</t>
  </si>
  <si>
    <t>1386</t>
  </si>
  <si>
    <t>1407</t>
  </si>
  <si>
    <t>1457</t>
  </si>
  <si>
    <t>1265</t>
  </si>
  <si>
    <t>1384</t>
  </si>
  <si>
    <t>1323</t>
  </si>
  <si>
    <t>1401</t>
  </si>
  <si>
    <t>1267</t>
  </si>
  <si>
    <t>1351</t>
  </si>
  <si>
    <t>1376</t>
  </si>
  <si>
    <t>05/04/2021</t>
  </si>
  <si>
    <t>108</t>
  </si>
  <si>
    <t>109</t>
  </si>
  <si>
    <t>14/04/2021</t>
  </si>
  <si>
    <t>110</t>
  </si>
  <si>
    <t>35</t>
  </si>
  <si>
    <t>224</t>
  </si>
  <si>
    <t>233</t>
  </si>
  <si>
    <t>235</t>
  </si>
  <si>
    <t>236</t>
  </si>
  <si>
    <t>240</t>
  </si>
  <si>
    <t>06142311981022</t>
  </si>
  <si>
    <t>COMTRI S.A DE C.V.</t>
  </si>
  <si>
    <t>06142402121034</t>
  </si>
  <si>
    <t>BOMBOM S.A DE C.V.</t>
  </si>
  <si>
    <t>06142708620024</t>
  </si>
  <si>
    <t>MAYO</t>
  </si>
  <si>
    <t>0305</t>
  </si>
  <si>
    <t>06140702001011</t>
  </si>
  <si>
    <t>CORPORACION GRS S.A DE C.V.</t>
  </si>
  <si>
    <t>0605</t>
  </si>
  <si>
    <t>1105</t>
  </si>
  <si>
    <t>1805</t>
  </si>
  <si>
    <t>1905</t>
  </si>
  <si>
    <t>2105</t>
  </si>
  <si>
    <t>2605</t>
  </si>
  <si>
    <t>111</t>
  </si>
  <si>
    <t>112</t>
  </si>
  <si>
    <t>113</t>
  </si>
  <si>
    <t>114</t>
  </si>
  <si>
    <t>115</t>
  </si>
  <si>
    <t>03/05/2021</t>
  </si>
  <si>
    <t>14/05/2021</t>
  </si>
  <si>
    <t>20/05/2021</t>
  </si>
  <si>
    <t>36</t>
  </si>
  <si>
    <t>0105</t>
  </si>
  <si>
    <t>10080</t>
  </si>
  <si>
    <t>0205</t>
  </si>
  <si>
    <t>10263</t>
  </si>
  <si>
    <t>10434</t>
  </si>
  <si>
    <t>0405</t>
  </si>
  <si>
    <t>10820</t>
  </si>
  <si>
    <t>11200</t>
  </si>
  <si>
    <t>11327</t>
  </si>
  <si>
    <t>0805</t>
  </si>
  <si>
    <t>11631</t>
  </si>
  <si>
    <t>11748</t>
  </si>
  <si>
    <t>17791</t>
  </si>
  <si>
    <t>0905</t>
  </si>
  <si>
    <t>11937</t>
  </si>
  <si>
    <t>1005</t>
  </si>
  <si>
    <t>11975</t>
  </si>
  <si>
    <t>12368</t>
  </si>
  <si>
    <t>1205</t>
  </si>
  <si>
    <t>12554</t>
  </si>
  <si>
    <t>1305</t>
  </si>
  <si>
    <t>12764</t>
  </si>
  <si>
    <t>12915</t>
  </si>
  <si>
    <t>13187</t>
  </si>
  <si>
    <t>1505</t>
  </si>
  <si>
    <t>13424</t>
  </si>
  <si>
    <t>1705</t>
  </si>
  <si>
    <t>13907</t>
  </si>
  <si>
    <t>13753</t>
  </si>
  <si>
    <t>14062</t>
  </si>
  <si>
    <t>14430</t>
  </si>
  <si>
    <t>2005</t>
  </si>
  <si>
    <t>14602</t>
  </si>
  <si>
    <t>14601</t>
  </si>
  <si>
    <t>14954</t>
  </si>
  <si>
    <t>14964</t>
  </si>
  <si>
    <t>2205</t>
  </si>
  <si>
    <t>15103</t>
  </si>
  <si>
    <t>2405</t>
  </si>
  <si>
    <t>15605</t>
  </si>
  <si>
    <t>2505</t>
  </si>
  <si>
    <t>15747</t>
  </si>
  <si>
    <t>16028</t>
  </si>
  <si>
    <t>16152</t>
  </si>
  <si>
    <t>2705</t>
  </si>
  <si>
    <t>16478</t>
  </si>
  <si>
    <t>2805</t>
  </si>
  <si>
    <t>16736</t>
  </si>
  <si>
    <t>16623</t>
  </si>
  <si>
    <t>3005</t>
  </si>
  <si>
    <t>17100</t>
  </si>
  <si>
    <t>3105</t>
  </si>
  <si>
    <t>17236</t>
  </si>
  <si>
    <t>2905</t>
  </si>
  <si>
    <t>147463</t>
  </si>
  <si>
    <t>147397</t>
  </si>
  <si>
    <t>147045</t>
  </si>
  <si>
    <t>147044</t>
  </si>
  <si>
    <t>146969</t>
  </si>
  <si>
    <t>146675</t>
  </si>
  <si>
    <t>146321</t>
  </si>
  <si>
    <t>146013</t>
  </si>
  <si>
    <t>145734</t>
  </si>
  <si>
    <t>145684</t>
  </si>
  <si>
    <t>145359</t>
  </si>
  <si>
    <t>145024</t>
  </si>
  <si>
    <t>144827</t>
  </si>
  <si>
    <t>144611</t>
  </si>
  <si>
    <t>0705</t>
  </si>
  <si>
    <t>144386</t>
  </si>
  <si>
    <t>0505</t>
  </si>
  <si>
    <t>144127</t>
  </si>
  <si>
    <t>143907</t>
  </si>
  <si>
    <t>143828</t>
  </si>
  <si>
    <t>143786</t>
  </si>
  <si>
    <t>109708</t>
  </si>
  <si>
    <t>337</t>
  </si>
  <si>
    <t>7</t>
  </si>
  <si>
    <t>06082511590014</t>
  </si>
  <si>
    <t>918534</t>
  </si>
  <si>
    <t>06141101690011</t>
  </si>
  <si>
    <t>1539</t>
  </si>
  <si>
    <t>149186</t>
  </si>
  <si>
    <t>06141708001052</t>
  </si>
  <si>
    <t>109077</t>
  </si>
  <si>
    <t>5722</t>
  </si>
  <si>
    <t>6</t>
  </si>
  <si>
    <t>149153</t>
  </si>
  <si>
    <t>427</t>
  </si>
  <si>
    <t>04330307590010</t>
  </si>
  <si>
    <t>301418</t>
  </si>
  <si>
    <t>1373</t>
  </si>
  <si>
    <t>06140701091041</t>
  </si>
  <si>
    <t>442</t>
  </si>
  <si>
    <t>333</t>
  </si>
  <si>
    <t>06141106071025</t>
  </si>
  <si>
    <t>3583936</t>
  </si>
  <si>
    <t>295860</t>
  </si>
  <si>
    <t>2010611</t>
  </si>
  <si>
    <t>168962</t>
  </si>
  <si>
    <t>12171906520017</t>
  </si>
  <si>
    <t>168051</t>
  </si>
  <si>
    <t>169915</t>
  </si>
  <si>
    <t>171296</t>
  </si>
  <si>
    <t>167872</t>
  </si>
  <si>
    <t>173844</t>
  </si>
  <si>
    <t>172847</t>
  </si>
  <si>
    <t>386</t>
  </si>
  <si>
    <t>1425</t>
  </si>
  <si>
    <t>8000</t>
  </si>
  <si>
    <t>1366</t>
  </si>
  <si>
    <t>0103</t>
  </si>
  <si>
    <t>24076</t>
  </si>
  <si>
    <t>06140910131034</t>
  </si>
  <si>
    <t>149853</t>
  </si>
  <si>
    <t>06141612991019</t>
  </si>
  <si>
    <t>24301</t>
  </si>
  <si>
    <t>06140607921022</t>
  </si>
  <si>
    <t>69968</t>
  </si>
  <si>
    <t>06040302650016</t>
  </si>
  <si>
    <t>642</t>
  </si>
  <si>
    <t>884704</t>
  </si>
  <si>
    <t>66933</t>
  </si>
  <si>
    <t>06140711071030</t>
  </si>
  <si>
    <t>24715</t>
  </si>
  <si>
    <t>877490</t>
  </si>
  <si>
    <t>542436</t>
  </si>
  <si>
    <t>06141402560013</t>
  </si>
  <si>
    <t>626987</t>
  </si>
  <si>
    <t>18384</t>
  </si>
  <si>
    <t>13971</t>
  </si>
  <si>
    <t>72485</t>
  </si>
  <si>
    <t>1481</t>
  </si>
  <si>
    <t>1535</t>
  </si>
  <si>
    <t>1599</t>
  </si>
  <si>
    <t>2453</t>
  </si>
  <si>
    <t>2502</t>
  </si>
  <si>
    <t>1465</t>
  </si>
  <si>
    <t>1512</t>
  </si>
  <si>
    <t>1531</t>
  </si>
  <si>
    <t>1543</t>
  </si>
  <si>
    <t>1560</t>
  </si>
  <si>
    <t>1580</t>
  </si>
  <si>
    <t>2410</t>
  </si>
  <si>
    <t>2423</t>
  </si>
  <si>
    <t>2446</t>
  </si>
  <si>
    <t>2463</t>
  </si>
  <si>
    <t>2475</t>
  </si>
  <si>
    <t>2492</t>
  </si>
  <si>
    <t>1488</t>
  </si>
  <si>
    <t>1517</t>
  </si>
  <si>
    <t>1536</t>
  </si>
  <si>
    <t>1564</t>
  </si>
  <si>
    <t>2403</t>
  </si>
  <si>
    <t>2431</t>
  </si>
  <si>
    <t>2456</t>
  </si>
  <si>
    <t>2476</t>
  </si>
  <si>
    <t>1497</t>
  </si>
  <si>
    <t>1523</t>
  </si>
  <si>
    <t>1547</t>
  </si>
  <si>
    <t>1571</t>
  </si>
  <si>
    <t>2401</t>
  </si>
  <si>
    <t>2436</t>
  </si>
  <si>
    <t>2454</t>
  </si>
  <si>
    <t>2487</t>
  </si>
  <si>
    <t>2501</t>
  </si>
  <si>
    <t>1511</t>
  </si>
  <si>
    <t>2496</t>
  </si>
  <si>
    <t>1467</t>
  </si>
  <si>
    <t>1466</t>
  </si>
  <si>
    <t>1600</t>
  </si>
  <si>
    <t>2486</t>
  </si>
  <si>
    <t>1548</t>
  </si>
  <si>
    <t>JUNIO</t>
  </si>
  <si>
    <t>1506</t>
  </si>
  <si>
    <t>475</t>
  </si>
  <si>
    <t>0806</t>
  </si>
  <si>
    <t>5518</t>
  </si>
  <si>
    <t>0106</t>
  </si>
  <si>
    <t>17682</t>
  </si>
  <si>
    <t>17545</t>
  </si>
  <si>
    <t>0306</t>
  </si>
  <si>
    <t>18099</t>
  </si>
  <si>
    <t>18234</t>
  </si>
  <si>
    <t>0506</t>
  </si>
  <si>
    <t>18547</t>
  </si>
  <si>
    <t>0606</t>
  </si>
  <si>
    <t>18859</t>
  </si>
  <si>
    <t>0706</t>
  </si>
  <si>
    <t>19053</t>
  </si>
  <si>
    <t>19421</t>
  </si>
  <si>
    <t>0906</t>
  </si>
  <si>
    <t>19551</t>
  </si>
  <si>
    <t>1006</t>
  </si>
  <si>
    <t>19939</t>
  </si>
  <si>
    <t>1106</t>
  </si>
  <si>
    <t>20000</t>
  </si>
  <si>
    <t>1206</t>
  </si>
  <si>
    <t>20311</t>
  </si>
  <si>
    <t>20412</t>
  </si>
  <si>
    <t>1306</t>
  </si>
  <si>
    <t>20523</t>
  </si>
  <si>
    <t>1406</t>
  </si>
  <si>
    <t>20707</t>
  </si>
  <si>
    <t>21105</t>
  </si>
  <si>
    <t>1606</t>
  </si>
  <si>
    <t>21330</t>
  </si>
  <si>
    <t>1706</t>
  </si>
  <si>
    <t>21535</t>
  </si>
  <si>
    <t>2006</t>
  </si>
  <si>
    <t>22148</t>
  </si>
  <si>
    <t>2106</t>
  </si>
  <si>
    <t>22311</t>
  </si>
  <si>
    <t>22240</t>
  </si>
  <si>
    <t>2206</t>
  </si>
  <si>
    <t>22681</t>
  </si>
  <si>
    <t>2406</t>
  </si>
  <si>
    <t>23108</t>
  </si>
  <si>
    <t>23222</t>
  </si>
  <si>
    <t>2706</t>
  </si>
  <si>
    <t>23856</t>
  </si>
  <si>
    <t>24033</t>
  </si>
  <si>
    <t>2906</t>
  </si>
  <si>
    <t>24309</t>
  </si>
  <si>
    <t>24420</t>
  </si>
  <si>
    <t>3006</t>
  </si>
  <si>
    <t>24500</t>
  </si>
  <si>
    <t>151862</t>
  </si>
  <si>
    <t>151385</t>
  </si>
  <si>
    <t>2606</t>
  </si>
  <si>
    <t>151236</t>
  </si>
  <si>
    <t>2506</t>
  </si>
  <si>
    <t>151114</t>
  </si>
  <si>
    <t>2306</t>
  </si>
  <si>
    <t>150786</t>
  </si>
  <si>
    <t>150454</t>
  </si>
  <si>
    <t>1906</t>
  </si>
  <si>
    <t>150310</t>
  </si>
  <si>
    <t>1806</t>
  </si>
  <si>
    <t>150220</t>
  </si>
  <si>
    <t>150167</t>
  </si>
  <si>
    <t>150103</t>
  </si>
  <si>
    <t>149565</t>
  </si>
  <si>
    <t>149412</t>
  </si>
  <si>
    <t>149361</t>
  </si>
  <si>
    <t>149193</t>
  </si>
  <si>
    <t>149076</t>
  </si>
  <si>
    <t>148892</t>
  </si>
  <si>
    <t>148377</t>
  </si>
  <si>
    <t>148349</t>
  </si>
  <si>
    <t>0406</t>
  </si>
  <si>
    <t>148214</t>
  </si>
  <si>
    <t>0206</t>
  </si>
  <si>
    <t>147977</t>
  </si>
  <si>
    <t>147767</t>
  </si>
  <si>
    <t>07021404520020</t>
  </si>
  <si>
    <t>375</t>
  </si>
  <si>
    <t>1890</t>
  </si>
  <si>
    <t>265</t>
  </si>
  <si>
    <t>846</t>
  </si>
  <si>
    <t>07162602711019</t>
  </si>
  <si>
    <t>05043110741013</t>
  </si>
  <si>
    <t>109743</t>
  </si>
  <si>
    <t>110154</t>
  </si>
  <si>
    <t>109873</t>
  </si>
  <si>
    <t>824</t>
  </si>
  <si>
    <t>5849</t>
  </si>
  <si>
    <t>72223</t>
  </si>
  <si>
    <t>06140107690022</t>
  </si>
  <si>
    <t>1089401</t>
  </si>
  <si>
    <t>1090883</t>
  </si>
  <si>
    <t>237198</t>
  </si>
  <si>
    <t>9581</t>
  </si>
  <si>
    <t>1605</t>
  </si>
  <si>
    <t>9225</t>
  </si>
  <si>
    <t>21141</t>
  </si>
  <si>
    <t>19308</t>
  </si>
  <si>
    <t>469430</t>
  </si>
  <si>
    <t>19459</t>
  </si>
  <si>
    <t>19549</t>
  </si>
  <si>
    <t>3146</t>
  </si>
  <si>
    <t>18749</t>
  </si>
  <si>
    <t>40479</t>
  </si>
  <si>
    <t>1121232</t>
  </si>
  <si>
    <t>69556</t>
  </si>
  <si>
    <t>1121879</t>
  </si>
  <si>
    <t>205</t>
  </si>
  <si>
    <t>05111408191011</t>
  </si>
  <si>
    <t>456</t>
  </si>
  <si>
    <t>469539</t>
  </si>
  <si>
    <t>831</t>
  </si>
  <si>
    <t>446</t>
  </si>
  <si>
    <t>1861</t>
  </si>
  <si>
    <t>05112011121013</t>
  </si>
  <si>
    <t>31283426</t>
  </si>
  <si>
    <t>2531</t>
  </si>
  <si>
    <t>2564</t>
  </si>
  <si>
    <t>2578</t>
  </si>
  <si>
    <t>2619</t>
  </si>
  <si>
    <t>2641</t>
  </si>
  <si>
    <t>2674</t>
  </si>
  <si>
    <t>2699</t>
  </si>
  <si>
    <t>2510</t>
  </si>
  <si>
    <t>2526</t>
  </si>
  <si>
    <t>2543</t>
  </si>
  <si>
    <t>2565</t>
  </si>
  <si>
    <t>2577</t>
  </si>
  <si>
    <t>2591</t>
  </si>
  <si>
    <t>2609</t>
  </si>
  <si>
    <t>2618</t>
  </si>
  <si>
    <t>2630</t>
  </si>
  <si>
    <t>2648</t>
  </si>
  <si>
    <t>2665</t>
  </si>
  <si>
    <t>2685</t>
  </si>
  <si>
    <t>2716</t>
  </si>
  <si>
    <t>2555</t>
  </si>
  <si>
    <t>2601</t>
  </si>
  <si>
    <t>2638</t>
  </si>
  <si>
    <t>2689</t>
  </si>
  <si>
    <t>2515</t>
  </si>
  <si>
    <t>2612</t>
  </si>
  <si>
    <t>2587</t>
  </si>
  <si>
    <t>2536</t>
  </si>
  <si>
    <t>2554</t>
  </si>
  <si>
    <t>2588</t>
  </si>
  <si>
    <t>2602</t>
  </si>
  <si>
    <t>2625</t>
  </si>
  <si>
    <t>2639</t>
  </si>
  <si>
    <t>2677</t>
  </si>
  <si>
    <t>2691</t>
  </si>
  <si>
    <t>2509</t>
  </si>
  <si>
    <t>2545</t>
  </si>
  <si>
    <t>2684</t>
  </si>
  <si>
    <t>2582</t>
  </si>
  <si>
    <t>01/06/2021</t>
  </si>
  <si>
    <t>116</t>
  </si>
  <si>
    <t>117</t>
  </si>
  <si>
    <t>118</t>
  </si>
  <si>
    <t>119</t>
  </si>
  <si>
    <t>120</t>
  </si>
  <si>
    <t>121</t>
  </si>
  <si>
    <t>09/06/2021</t>
  </si>
  <si>
    <t>15/06/2021</t>
  </si>
  <si>
    <t>16/06/2021</t>
  </si>
  <si>
    <t>37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</si>
  <si>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</si>
  <si>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</si>
  <si>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</si>
  <si>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</si>
  <si>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</si>
  <si>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</si>
  <si>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</si>
  <si>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</si>
  <si>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</si>
  <si>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</si>
  <si>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</si>
  <si>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330</t>
  </si>
  <si>
    <t>331</t>
  </si>
  <si>
    <t>332</t>
  </si>
  <si>
    <t>334</t>
  </si>
  <si>
    <t>335</t>
  </si>
  <si>
    <t>336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</si>
  <si>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</si>
  <si>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</si>
  <si>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</si>
  <si>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</si>
  <si>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</si>
  <si>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</si>
  <si>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</si>
  <si>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</si>
  <si>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</si>
  <si>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06140901921022</t>
  </si>
  <si>
    <t>GRANJA EL ROBLE S.A DE C.V.</t>
  </si>
  <si>
    <t>SERVI</t>
  </si>
  <si>
    <t>exentas.</t>
  </si>
  <si>
    <t>CCF</t>
  </si>
  <si>
    <t>FAC</t>
  </si>
  <si>
    <t>EX</t>
  </si>
  <si>
    <t>rete</t>
  </si>
  <si>
    <t>compras</t>
  </si>
  <si>
    <t>FOVIA</t>
  </si>
  <si>
    <t>ccf  mas fac</t>
  </si>
  <si>
    <t>neto</t>
  </si>
  <si>
    <t>iva</t>
  </si>
  <si>
    <t>PROPO</t>
  </si>
  <si>
    <t>retencion</t>
  </si>
  <si>
    <t>TOTAL</t>
  </si>
  <si>
    <t>8686</t>
  </si>
  <si>
    <t>19DS000E</t>
  </si>
  <si>
    <t>07</t>
  </si>
  <si>
    <t>30/04/2021</t>
  </si>
  <si>
    <t>2155</t>
  </si>
  <si>
    <t>20SD000E</t>
  </si>
  <si>
    <t>349799</t>
  </si>
  <si>
    <t>19DS000U</t>
  </si>
  <si>
    <t>26/04/2021</t>
  </si>
  <si>
    <t>348819</t>
  </si>
  <si>
    <t>18/03/2021</t>
  </si>
  <si>
    <t>348943</t>
  </si>
  <si>
    <t>23/03/2021</t>
  </si>
  <si>
    <t>348942</t>
  </si>
  <si>
    <t>349424</t>
  </si>
  <si>
    <t>19/04/2021</t>
  </si>
  <si>
    <t>349338</t>
  </si>
  <si>
    <t>15/04/2021</t>
  </si>
  <si>
    <t>348185</t>
  </si>
  <si>
    <t>23/02/2021</t>
  </si>
  <si>
    <t>348186</t>
  </si>
  <si>
    <t>349130</t>
  </si>
  <si>
    <t>26/03/2021</t>
  </si>
  <si>
    <t>349131</t>
  </si>
  <si>
    <t>349132</t>
  </si>
  <si>
    <t>RETENCION</t>
  </si>
  <si>
    <t>MONTO</t>
  </si>
  <si>
    <t>DOC</t>
  </si>
  <si>
    <t>TIPO</t>
  </si>
  <si>
    <t>052021</t>
  </si>
  <si>
    <t>43.50</t>
  </si>
  <si>
    <t>06142407721056</t>
  </si>
  <si>
    <t>OSEGUEDA CHICAS JAIME DANILO</t>
  </si>
  <si>
    <t>9300</t>
  </si>
  <si>
    <t>06142602650082</t>
  </si>
  <si>
    <t>ORELLANA VIDES MAURICIO ANIBAL</t>
  </si>
  <si>
    <t>RIVAS INTERIANO OSCAR HUMBERTO</t>
  </si>
  <si>
    <t>05021704500010</t>
  </si>
  <si>
    <t>CHICAS VDA. DE OSEGUEDA MARIA ELVA</t>
  </si>
  <si>
    <t>PERIODO</t>
  </si>
  <si>
    <t>ISSS/IVM</t>
  </si>
  <si>
    <t>B. MAGISTE</t>
  </si>
  <si>
    <t>CEFAFA</t>
  </si>
  <si>
    <t>IPSFA</t>
  </si>
  <si>
    <t>INPEP</t>
  </si>
  <si>
    <t>ISSS</t>
  </si>
  <si>
    <t>AFP</t>
  </si>
  <si>
    <t>AGUI GRAVA</t>
  </si>
  <si>
    <t>AGUI EX</t>
  </si>
  <si>
    <t>ISR</t>
  </si>
  <si>
    <t>BONIFICACION</t>
  </si>
  <si>
    <t>MONTO D</t>
  </si>
  <si>
    <t>CODIGO</t>
  </si>
  <si>
    <t>NOMBRE</t>
  </si>
  <si>
    <t>PAIS</t>
  </si>
  <si>
    <t>DOMICILIO</t>
  </si>
  <si>
    <t>DECLARACION</t>
  </si>
  <si>
    <t>PCTA</t>
  </si>
  <si>
    <t>062021</t>
  </si>
  <si>
    <t>24/06/2021</t>
  </si>
  <si>
    <t>381568</t>
  </si>
  <si>
    <t>381569</t>
  </si>
  <si>
    <t>5212</t>
  </si>
  <si>
    <t>5211</t>
  </si>
  <si>
    <t>31/05/2021</t>
  </si>
  <si>
    <t>5441</t>
  </si>
  <si>
    <t>26057</t>
  </si>
  <si>
    <t>27/05/2021</t>
  </si>
  <si>
    <t>1468</t>
  </si>
  <si>
    <t>26/05/2021</t>
  </si>
  <si>
    <t>2418</t>
  </si>
  <si>
    <t>14/06/2021</t>
  </si>
  <si>
    <t>2523</t>
  </si>
  <si>
    <t>25/06/2021</t>
  </si>
  <si>
    <t>1578</t>
  </si>
  <si>
    <t>20SD000U</t>
  </si>
  <si>
    <t>3106229</t>
  </si>
  <si>
    <t>06/05/2021</t>
  </si>
  <si>
    <t>1042</t>
  </si>
  <si>
    <t>9096</t>
  </si>
  <si>
    <t>78</t>
  </si>
  <si>
    <t>421</t>
  </si>
  <si>
    <t>OPERADORA DEL SUR, S. A. DE C.V.</t>
  </si>
  <si>
    <t>BANCO AGRICOLA, S.A.</t>
  </si>
  <si>
    <t>ESTABLECIMIENTOS ANCALMO, S.A DE C.V</t>
  </si>
  <si>
    <t>GRUPO PAILL S. A. DE C. V.</t>
  </si>
  <si>
    <t>SUPER REPUESTOS EL SALVADOR, SOCIEDAD ANONIMA DE CAPITAL VARIABLE</t>
  </si>
  <si>
    <t>TALLER DIDEA, S.A. DE C.V.</t>
  </si>
  <si>
    <t>JULIO</t>
  </si>
  <si>
    <t>0107</t>
  </si>
  <si>
    <t>24947</t>
  </si>
  <si>
    <t>0207</t>
  </si>
  <si>
    <t>25221</t>
  </si>
  <si>
    <t>0407</t>
  </si>
  <si>
    <t>25587</t>
  </si>
  <si>
    <t>0507</t>
  </si>
  <si>
    <t>25686</t>
  </si>
  <si>
    <t>0607</t>
  </si>
  <si>
    <t>26134</t>
  </si>
  <si>
    <t>26018</t>
  </si>
  <si>
    <t>0807</t>
  </si>
  <si>
    <t>26663</t>
  </si>
  <si>
    <t>26551</t>
  </si>
  <si>
    <t>0907</t>
  </si>
  <si>
    <t>26732</t>
  </si>
  <si>
    <t>27125</t>
  </si>
  <si>
    <t>1107</t>
  </si>
  <si>
    <t>27311</t>
  </si>
  <si>
    <t>1207</t>
  </si>
  <si>
    <t>27458</t>
  </si>
  <si>
    <t>1307</t>
  </si>
  <si>
    <t>27862</t>
  </si>
  <si>
    <t>27983</t>
  </si>
  <si>
    <t>28126</t>
  </si>
  <si>
    <t>1507</t>
  </si>
  <si>
    <t>28422</t>
  </si>
  <si>
    <t>1807</t>
  </si>
  <si>
    <t>29087</t>
  </si>
  <si>
    <t>1907</t>
  </si>
  <si>
    <t>29223</t>
  </si>
  <si>
    <t>2007</t>
  </si>
  <si>
    <t>29677</t>
  </si>
  <si>
    <t>29575</t>
  </si>
  <si>
    <t>2207</t>
  </si>
  <si>
    <t>30151</t>
  </si>
  <si>
    <t>2107</t>
  </si>
  <si>
    <t>29740</t>
  </si>
  <si>
    <t>30251</t>
  </si>
  <si>
    <t>30123</t>
  </si>
  <si>
    <t>2507</t>
  </si>
  <si>
    <t>30941</t>
  </si>
  <si>
    <t>2607</t>
  </si>
  <si>
    <t>31255</t>
  </si>
  <si>
    <t>31248</t>
  </si>
  <si>
    <t>2707</t>
  </si>
  <si>
    <t>31577</t>
  </si>
  <si>
    <t>2907</t>
  </si>
  <si>
    <t>32136</t>
  </si>
  <si>
    <t>32008</t>
  </si>
  <si>
    <t>3007</t>
  </si>
  <si>
    <t>32309</t>
  </si>
  <si>
    <t>32324</t>
  </si>
  <si>
    <t>3107</t>
  </si>
  <si>
    <t>32608</t>
  </si>
  <si>
    <t>156153</t>
  </si>
  <si>
    <t>156032</t>
  </si>
  <si>
    <t>155669</t>
  </si>
  <si>
    <t>155653</t>
  </si>
  <si>
    <t>2407</t>
  </si>
  <si>
    <t>155349</t>
  </si>
  <si>
    <t>2307</t>
  </si>
  <si>
    <t>155182</t>
  </si>
  <si>
    <t>155136</t>
  </si>
  <si>
    <t>154751</t>
  </si>
  <si>
    <t>154465</t>
  </si>
  <si>
    <t>1707</t>
  </si>
  <si>
    <t>154231</t>
  </si>
  <si>
    <t>1607</t>
  </si>
  <si>
    <t>154131</t>
  </si>
  <si>
    <t>154025</t>
  </si>
  <si>
    <t>153858</t>
  </si>
  <si>
    <t>153730</t>
  </si>
  <si>
    <t>153398</t>
  </si>
  <si>
    <t>153324</t>
  </si>
  <si>
    <t>153230</t>
  </si>
  <si>
    <t>152904</t>
  </si>
  <si>
    <t>152401</t>
  </si>
  <si>
    <t>0307</t>
  </si>
  <si>
    <t>152217</t>
  </si>
  <si>
    <t>152089</t>
  </si>
  <si>
    <t>151933</t>
  </si>
  <si>
    <t>391</t>
  </si>
  <si>
    <t>5999</t>
  </si>
  <si>
    <t>316</t>
  </si>
  <si>
    <t>06140103580052</t>
  </si>
  <si>
    <t>6038</t>
  </si>
  <si>
    <t>112377</t>
  </si>
  <si>
    <t>1561</t>
  </si>
  <si>
    <t>37409</t>
  </si>
  <si>
    <t>1575</t>
  </si>
  <si>
    <t>314</t>
  </si>
  <si>
    <t>25763</t>
  </si>
  <si>
    <t>1798356</t>
  </si>
  <si>
    <t>431</t>
  </si>
  <si>
    <t>857</t>
  </si>
  <si>
    <t>293</t>
  </si>
  <si>
    <t>1981</t>
  </si>
  <si>
    <t>615</t>
  </si>
  <si>
    <t>182</t>
  </si>
  <si>
    <t>07091702731012</t>
  </si>
  <si>
    <t>126</t>
  </si>
  <si>
    <t>3618498</t>
  </si>
  <si>
    <t>1966987</t>
  </si>
  <si>
    <t>397</t>
  </si>
  <si>
    <t>2137502</t>
  </si>
  <si>
    <t>525023</t>
  </si>
  <si>
    <t>544052</t>
  </si>
  <si>
    <t>2305</t>
  </si>
  <si>
    <t>176986</t>
  </si>
  <si>
    <t>544784</t>
  </si>
  <si>
    <t>544714</t>
  </si>
  <si>
    <t>6177</t>
  </si>
  <si>
    <t>06142504941010</t>
  </si>
  <si>
    <t>5862</t>
  </si>
  <si>
    <t>10006</t>
  </si>
  <si>
    <t>8421</t>
  </si>
  <si>
    <t>8640</t>
  </si>
  <si>
    <t>28833</t>
  </si>
  <si>
    <t>29409</t>
  </si>
  <si>
    <t>107823</t>
  </si>
  <si>
    <t>110709</t>
  </si>
  <si>
    <t>19026</t>
  </si>
  <si>
    <t>06142008660025</t>
  </si>
  <si>
    <t>7614</t>
  </si>
  <si>
    <t>06142505731094</t>
  </si>
  <si>
    <t>268724</t>
  </si>
  <si>
    <t>85</t>
  </si>
  <si>
    <t>06142708101053</t>
  </si>
  <si>
    <t>0707</t>
  </si>
  <si>
    <t>35632</t>
  </si>
  <si>
    <t>06141612021044</t>
  </si>
  <si>
    <t>30097</t>
  </si>
  <si>
    <t>10676</t>
  </si>
  <si>
    <t>10730</t>
  </si>
  <si>
    <t>10543</t>
  </si>
  <si>
    <t>10330</t>
  </si>
  <si>
    <t>607</t>
  </si>
  <si>
    <t>11498</t>
  </si>
  <si>
    <t>11217</t>
  </si>
  <si>
    <t>10809</t>
  </si>
  <si>
    <t>10225</t>
  </si>
  <si>
    <t>10262</t>
  </si>
  <si>
    <t>471</t>
  </si>
  <si>
    <t>718444</t>
  </si>
  <si>
    <t>79122</t>
  </si>
  <si>
    <t>20323</t>
  </si>
  <si>
    <t>11948</t>
  </si>
  <si>
    <t>1356119</t>
  </si>
  <si>
    <t>42661</t>
  </si>
  <si>
    <t>41471</t>
  </si>
  <si>
    <t>6669</t>
  </si>
  <si>
    <t>71763</t>
  </si>
  <si>
    <t>982681</t>
  </si>
  <si>
    <t>6041856</t>
  </si>
  <si>
    <t>6042022</t>
  </si>
  <si>
    <t>6041998</t>
  </si>
  <si>
    <t>72884</t>
  </si>
  <si>
    <t>2735</t>
  </si>
  <si>
    <t>2759</t>
  </si>
  <si>
    <t>2793</t>
  </si>
  <si>
    <t>2822</t>
  </si>
  <si>
    <t>2847</t>
  </si>
  <si>
    <t>2881</t>
  </si>
  <si>
    <t>2898</t>
  </si>
  <si>
    <t>2926</t>
  </si>
  <si>
    <t>2970</t>
  </si>
  <si>
    <t>2728</t>
  </si>
  <si>
    <t>2747</t>
  </si>
  <si>
    <t>2778</t>
  </si>
  <si>
    <t>2786</t>
  </si>
  <si>
    <t>2801</t>
  </si>
  <si>
    <t>2824</t>
  </si>
  <si>
    <t>2846</t>
  </si>
  <si>
    <t>2862</t>
  </si>
  <si>
    <t>2887</t>
  </si>
  <si>
    <t>2899</t>
  </si>
  <si>
    <t>2910</t>
  </si>
  <si>
    <t>2807</t>
  </si>
  <si>
    <t>2940</t>
  </si>
  <si>
    <t>2969</t>
  </si>
  <si>
    <t>2757</t>
  </si>
  <si>
    <t>2811</t>
  </si>
  <si>
    <t>2876</t>
  </si>
  <si>
    <t>2923</t>
  </si>
  <si>
    <t>2744</t>
  </si>
  <si>
    <t>2758</t>
  </si>
  <si>
    <t>2794</t>
  </si>
  <si>
    <t>2812</t>
  </si>
  <si>
    <t>2860</t>
  </si>
  <si>
    <t>2922</t>
  </si>
  <si>
    <t>2968</t>
  </si>
  <si>
    <t>2925</t>
  </si>
  <si>
    <t>2779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</si>
  <si>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</si>
  <si>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</si>
  <si>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</si>
  <si>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</si>
  <si>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</si>
  <si>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</si>
  <si>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</si>
  <si>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</si>
  <si>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</si>
  <si>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</si>
  <si>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</si>
  <si>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</si>
  <si>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</si>
  <si>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</si>
  <si>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</si>
  <si>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</si>
  <si>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</si>
  <si>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</si>
  <si>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</si>
  <si>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</si>
  <si>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</si>
  <si>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</si>
  <si>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</si>
  <si>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</si>
  <si>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</si>
  <si>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</si>
  <si>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</si>
  <si>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</si>
  <si>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376</t>
  </si>
  <si>
    <t>377</t>
  </si>
  <si>
    <t>378</t>
  </si>
  <si>
    <t>379</t>
  </si>
  <si>
    <t>380</t>
  </si>
  <si>
    <t>382</t>
  </si>
  <si>
    <t>01/07/2021</t>
  </si>
  <si>
    <t>38</t>
  </si>
  <si>
    <t>122</t>
  </si>
  <si>
    <t>123</t>
  </si>
  <si>
    <t>124</t>
  </si>
  <si>
    <t>125</t>
  </si>
  <si>
    <t>21/07/2021</t>
  </si>
  <si>
    <t>30/07/2021</t>
  </si>
  <si>
    <t>25959</t>
  </si>
  <si>
    <t>25886</t>
  </si>
  <si>
    <t>23/04/2021</t>
  </si>
  <si>
    <t>21DS000E</t>
  </si>
  <si>
    <t>80</t>
  </si>
  <si>
    <t>28/06/2021</t>
  </si>
  <si>
    <t>459</t>
  </si>
  <si>
    <t>30/06/2021</t>
  </si>
  <si>
    <t>517</t>
  </si>
  <si>
    <t>22/07/2021</t>
  </si>
  <si>
    <t>2884</t>
  </si>
  <si>
    <t>28/07/2021</t>
  </si>
  <si>
    <t>1727</t>
  </si>
  <si>
    <t>06142403780037</t>
  </si>
  <si>
    <t>07/06/2021</t>
  </si>
  <si>
    <t>1249</t>
  </si>
  <si>
    <t>06/06/2021</t>
  </si>
  <si>
    <t>1084</t>
  </si>
  <si>
    <t>9496</t>
  </si>
  <si>
    <t>16798</t>
  </si>
  <si>
    <t>130.50</t>
  </si>
  <si>
    <t>072021</t>
  </si>
  <si>
    <t>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</si>
</sst>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rgb="FF333333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00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2" borderId="0" xfId="0" applyNumberFormat="1" applyFill="1"/>
    <xf numFmtId="49" fontId="0" fillId="3" borderId="0" xfId="0" applyNumberFormat="1" applyFill="1"/>
    <xf numFmtId="0" fontId="0" fillId="3" borderId="0" xfId="0" applyNumberFormat="1" applyFill="1"/>
    <xf numFmtId="49" fontId="3" fillId="3" borderId="2" xfId="0" applyNumberFormat="1" applyFont="1" applyFill="1" applyBorder="1"/>
    <xf numFmtId="49" fontId="0" fillId="0" borderId="3" xfId="0" applyNumberFormat="1" applyFill="1" applyBorder="1"/>
    <xf numFmtId="0" fontId="0" fillId="0" borderId="3" xfId="0" applyFill="1" applyBorder="1"/>
    <xf numFmtId="0" fontId="0" fillId="0" borderId="3" xfId="0" applyNumberFormat="1" applyFill="1" applyBorder="1"/>
    <xf numFmtId="2" fontId="0" fillId="0" borderId="3" xfId="0" applyNumberForma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49" fontId="0" fillId="4" borderId="0" xfId="0" applyNumberFormat="1" applyFill="1"/>
    <xf numFmtId="164" fontId="0" fillId="4" borderId="0" xfId="1" applyFont="1" applyFill="1"/>
    <xf numFmtId="0" fontId="0" fillId="0" borderId="0" xfId="0" applyNumberFormat="1"/>
    <xf numFmtId="0" fontId="0" fillId="4" borderId="0" xfId="0" applyFill="1"/>
    <xf numFmtId="164" fontId="0" fillId="0" borderId="0" xfId="1" applyFont="1"/>
    <xf numFmtId="2" fontId="3" fillId="0" borderId="1" xfId="0" applyNumberFormat="1" applyFont="1" applyFill="1" applyBorder="1" applyAlignment="1">
      <alignment horizontal="center"/>
    </xf>
    <xf numFmtId="0" fontId="0" fillId="0" borderId="5" xfId="0" applyFill="1" applyBorder="1"/>
    <xf numFmtId="0" fontId="0" fillId="3" borderId="0" xfId="0" applyFill="1"/>
    <xf numFmtId="0" fontId="0" fillId="0" borderId="0" xfId="0" applyNumberFormat="1" applyFill="1"/>
    <xf numFmtId="49" fontId="0" fillId="0" borderId="0" xfId="0" applyNumberFormat="1" applyFill="1"/>
    <xf numFmtId="2" fontId="0" fillId="2" borderId="0" xfId="0" applyNumberFormat="1" applyFill="1" applyAlignment="1">
      <alignment horizontal="left"/>
    </xf>
    <xf numFmtId="2" fontId="3" fillId="0" borderId="1" xfId="1" applyNumberFormat="1" applyFont="1" applyFill="1" applyBorder="1" applyAlignment="1">
      <alignment horizontal="center"/>
    </xf>
    <xf numFmtId="2" fontId="0" fillId="0" borderId="3" xfId="1" applyNumberFormat="1" applyFont="1" applyFill="1" applyBorder="1"/>
    <xf numFmtId="2" fontId="0" fillId="0" borderId="3" xfId="0" applyNumberFormat="1" applyFill="1" applyBorder="1"/>
    <xf numFmtId="2" fontId="3" fillId="3" borderId="2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0" fillId="3" borderId="0" xfId="0" applyNumberFormat="1" applyFill="1"/>
    <xf numFmtId="164" fontId="0" fillId="0" borderId="3" xfId="1" applyFont="1" applyFill="1" applyBorder="1" applyAlignment="1">
      <alignment horizontal="left"/>
    </xf>
    <xf numFmtId="2" fontId="0" fillId="0" borderId="0" xfId="0" applyNumberFormat="1"/>
    <xf numFmtId="2" fontId="0" fillId="5" borderId="0" xfId="0" applyNumberFormat="1" applyFill="1"/>
    <xf numFmtId="164" fontId="0" fillId="0" borderId="10" xfId="1" applyFont="1" applyBorder="1"/>
    <xf numFmtId="164" fontId="0" fillId="0" borderId="9" xfId="1" applyFont="1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164" fontId="0" fillId="0" borderId="16" xfId="1" applyFont="1" applyBorder="1"/>
    <xf numFmtId="164" fontId="0" fillId="0" borderId="11" xfId="1" applyFont="1" applyBorder="1"/>
    <xf numFmtId="164" fontId="0" fillId="0" borderId="11" xfId="1" applyFont="1" applyBorder="1" applyAlignment="1">
      <alignment vertical="center"/>
    </xf>
    <xf numFmtId="164" fontId="0" fillId="0" borderId="12" xfId="1" applyFont="1" applyBorder="1" applyAlignment="1">
      <alignment vertical="center"/>
    </xf>
    <xf numFmtId="164" fontId="0" fillId="6" borderId="16" xfId="1" applyFont="1" applyFill="1" applyBorder="1"/>
    <xf numFmtId="164" fontId="0" fillId="0" borderId="18" xfId="1" applyFont="1" applyBorder="1"/>
    <xf numFmtId="164" fontId="0" fillId="0" borderId="14" xfId="1" applyFont="1" applyBorder="1"/>
    <xf numFmtId="164" fontId="0" fillId="0" borderId="15" xfId="1" applyFont="1" applyBorder="1" applyAlignment="1">
      <alignment vertical="center"/>
    </xf>
    <xf numFmtId="164" fontId="0" fillId="0" borderId="0" xfId="1" applyFont="1" applyBorder="1"/>
    <xf numFmtId="164" fontId="0" fillId="0" borderId="0" xfId="1" applyFont="1" applyBorder="1" applyAlignment="1">
      <alignment vertical="center"/>
    </xf>
    <xf numFmtId="0" fontId="3" fillId="0" borderId="10" xfId="0" applyFont="1" applyBorder="1" applyAlignment="1">
      <alignment horizontal="center"/>
    </xf>
    <xf numFmtId="164" fontId="0" fillId="0" borderId="12" xfId="1" applyFont="1" applyBorder="1"/>
    <xf numFmtId="164" fontId="3" fillId="0" borderId="19" xfId="1" applyFont="1" applyBorder="1" applyAlignment="1">
      <alignment vertical="center"/>
    </xf>
    <xf numFmtId="0" fontId="0" fillId="0" borderId="16" xfId="0" applyBorder="1"/>
    <xf numFmtId="164" fontId="3" fillId="0" borderId="12" xfId="1" applyFont="1" applyBorder="1"/>
    <xf numFmtId="44" fontId="0" fillId="0" borderId="18" xfId="0" applyNumberFormat="1" applyBorder="1"/>
    <xf numFmtId="164" fontId="0" fillId="0" borderId="15" xfId="1" applyFont="1" applyBorder="1"/>
    <xf numFmtId="164" fontId="6" fillId="0" borderId="0" xfId="1" applyFont="1" applyBorder="1"/>
    <xf numFmtId="164" fontId="0" fillId="6" borderId="10" xfId="1" applyFont="1" applyFill="1" applyBorder="1"/>
    <xf numFmtId="0" fontId="0" fillId="0" borderId="20" xfId="0" applyBorder="1"/>
    <xf numFmtId="164" fontId="0" fillId="0" borderId="20" xfId="1" applyFont="1" applyBorder="1"/>
    <xf numFmtId="164" fontId="0" fillId="0" borderId="20" xfId="1" applyFont="1" applyBorder="1" applyAlignment="1">
      <alignment vertical="center"/>
    </xf>
    <xf numFmtId="49" fontId="0" fillId="5" borderId="0" xfId="0" applyNumberFormat="1" applyFill="1"/>
    <xf numFmtId="0" fontId="0" fillId="5" borderId="0" xfId="0" applyFill="1"/>
    <xf numFmtId="164" fontId="6" fillId="0" borderId="18" xfId="1" applyFont="1" applyBorder="1" applyAlignment="1">
      <alignment vertical="center"/>
    </xf>
    <xf numFmtId="164" fontId="3" fillId="0" borderId="17" xfId="1" applyFont="1" applyBorder="1" applyAlignment="1">
      <alignment vertical="center"/>
    </xf>
    <xf numFmtId="164" fontId="3" fillId="0" borderId="10" xfId="1" applyFont="1" applyBorder="1"/>
    <xf numFmtId="0" fontId="0" fillId="0" borderId="21" xfId="0" applyFont="1" applyBorder="1"/>
    <xf numFmtId="0" fontId="7" fillId="0" borderId="0" xfId="0" applyFont="1"/>
    <xf numFmtId="0" fontId="7" fillId="7" borderId="21" xfId="0" applyFont="1" applyFill="1" applyBorder="1"/>
    <xf numFmtId="0" fontId="0" fillId="0" borderId="3" xfId="1" applyNumberFormat="1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/>
    </xf>
    <xf numFmtId="0" fontId="0" fillId="0" borderId="3" xfId="0" applyNumberFormat="1" applyFill="1" applyBorder="1" applyAlignment="1">
      <alignment horizontal="left"/>
    </xf>
    <xf numFmtId="49" fontId="0" fillId="0" borderId="3" xfId="0" applyNumberFormat="1" applyFont="1" applyFill="1" applyBorder="1"/>
    <xf numFmtId="0" fontId="0" fillId="0" borderId="0" xfId="0" applyNumberFormat="1" applyAlignment="1">
      <alignment horizontal="left"/>
    </xf>
    <xf numFmtId="0" fontId="0" fillId="5" borderId="0" xfId="0" applyNumberFormat="1" applyFill="1" applyAlignment="1">
      <alignment horizontal="left"/>
    </xf>
    <xf numFmtId="2" fontId="0" fillId="0" borderId="0" xfId="0" applyNumberFormat="1" applyAlignment="1">
      <alignment horizontal="right"/>
    </xf>
    <xf numFmtId="0" fontId="0" fillId="4" borderId="3" xfId="0" applyNumberFormat="1" applyFill="1" applyBorder="1"/>
    <xf numFmtId="164" fontId="5" fillId="0" borderId="6" xfId="1" applyFont="1" applyBorder="1" applyAlignment="1">
      <alignment horizontal="center" vertical="center"/>
    </xf>
    <xf numFmtId="164" fontId="5" fillId="0" borderId="7" xfId="1" applyFont="1" applyBorder="1" applyAlignment="1">
      <alignment horizontal="center" vertical="center"/>
    </xf>
    <xf numFmtId="164" fontId="5" fillId="0" borderId="8" xfId="1" applyFont="1" applyBorder="1" applyAlignment="1">
      <alignment horizontal="center" vertical="center"/>
    </xf>
    <xf numFmtId="164" fontId="5" fillId="0" borderId="11" xfId="1" applyFont="1" applyBorder="1" applyAlignment="1">
      <alignment horizontal="center" vertical="center"/>
    </xf>
    <xf numFmtId="164" fontId="5" fillId="0" borderId="0" xfId="1" applyFont="1" applyBorder="1" applyAlignment="1">
      <alignment horizontal="center" vertical="center"/>
    </xf>
    <xf numFmtId="164" fontId="5" fillId="0" borderId="12" xfId="1" applyFont="1" applyBorder="1" applyAlignment="1">
      <alignment horizontal="center" vertical="center"/>
    </xf>
    <xf numFmtId="164" fontId="5" fillId="0" borderId="14" xfId="1" applyFont="1" applyBorder="1" applyAlignment="1">
      <alignment horizontal="center" vertical="center"/>
    </xf>
    <xf numFmtId="164" fontId="5" fillId="0" borderId="20" xfId="1" applyFont="1" applyBorder="1" applyAlignment="1">
      <alignment horizontal="center" vertical="center"/>
    </xf>
    <xf numFmtId="164" fontId="5" fillId="0" borderId="15" xfId="1" applyFont="1" applyBorder="1" applyAlignment="1">
      <alignment horizontal="center" vertical="center"/>
    </xf>
    <xf numFmtId="17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3" fillId="2" borderId="6" xfId="1" applyFont="1" applyFill="1" applyBorder="1" applyAlignment="1">
      <alignment horizontal="center" vertical="center"/>
    </xf>
    <xf numFmtId="164" fontId="3" fillId="2" borderId="8" xfId="1" applyFont="1" applyFill="1" applyBorder="1" applyAlignment="1">
      <alignment horizontal="center" vertical="center"/>
    </xf>
    <xf numFmtId="164" fontId="3" fillId="2" borderId="14" xfId="1" applyFont="1" applyFill="1" applyBorder="1" applyAlignment="1">
      <alignment horizontal="center" vertical="center"/>
    </xf>
    <xf numFmtId="164" fontId="3" fillId="2" borderId="15" xfId="1" applyFont="1" applyFill="1" applyBorder="1" applyAlignment="1">
      <alignment horizontal="center" vertical="center"/>
    </xf>
    <xf numFmtId="164" fontId="3" fillId="0" borderId="17" xfId="1" applyFont="1" applyBorder="1" applyAlignment="1">
      <alignment horizontal="center" vertical="center"/>
    </xf>
    <xf numFmtId="164" fontId="3" fillId="0" borderId="18" xfId="1" applyFont="1" applyBorder="1" applyAlignment="1">
      <alignment horizontal="center" vertical="center"/>
    </xf>
    <xf numFmtId="164" fontId="3" fillId="5" borderId="17" xfId="1" applyFont="1" applyFill="1" applyBorder="1" applyAlignment="1">
      <alignment horizontal="center" vertical="center"/>
    </xf>
    <xf numFmtId="164" fontId="3" fillId="5" borderId="18" xfId="1" applyFont="1" applyFill="1" applyBorder="1" applyAlignment="1">
      <alignment horizontal="center" vertical="center"/>
    </xf>
    <xf numFmtId="164" fontId="6" fillId="0" borderId="17" xfId="1" applyFont="1" applyBorder="1" applyAlignment="1">
      <alignment horizontal="center" vertical="center"/>
    </xf>
    <xf numFmtId="164" fontId="6" fillId="0" borderId="18" xfId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15"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../../../BASE%20DE%20CLIENTES%20IVA%202021.xlsx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DECLARACION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19050</xdr:colOff>
      <xdr:row>0</xdr:row>
      <xdr:rowOff>9526</xdr:rowOff>
    </xdr:from>
    <xdr:to>
      <xdr:col>25</xdr:col>
      <xdr:colOff>609600</xdr:colOff>
      <xdr:row>0</xdr:row>
      <xdr:rowOff>257176</xdr:rowOff>
    </xdr:to>
    <xdr:sp macro="" textlink="">
      <xdr:nvSpPr>
        <xdr:cNvPr id="2" name="1 Rectángulo redondeado">
          <a:hlinkClick xmlns:r="http://schemas.openxmlformats.org/officeDocument/2006/relationships" r:id="rId1"/>
        </xdr:cNvPr>
        <xdr:cNvSpPr/>
      </xdr:nvSpPr>
      <xdr:spPr>
        <a:xfrm>
          <a:off x="13801725" y="9526"/>
          <a:ext cx="1362075" cy="247650"/>
        </a:xfrm>
        <a:prstGeom prst="round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>
          <a:scene3d>
            <a:camera prst="orthographicFront"/>
            <a:lightRig rig="brightRoom" dir="t"/>
          </a:scene3d>
          <a:sp3d contourW="6350" prstMaterial="plastic">
            <a:bevelT w="20320" h="20320" prst="angle"/>
            <a:contourClr>
              <a:schemeClr val="accent1">
                <a:tint val="100000"/>
                <a:shade val="100000"/>
                <a:hueMod val="100000"/>
                <a:satMod val="100000"/>
              </a:schemeClr>
            </a:contourClr>
          </a:sp3d>
        </a:bodyPr>
        <a:lstStyle/>
        <a:p>
          <a:pPr algn="ctr"/>
          <a:r>
            <a:rPr lang="es-MX" sz="1100" b="1" cap="all" spc="0">
              <a:ln>
                <a:solidFill>
                  <a:schemeClr val="bg1"/>
                </a:solidFill>
              </a:ln>
              <a:solidFill>
                <a:schemeClr val="accent1"/>
              </a:solidFill>
              <a:effectLst>
                <a:glow rad="139700">
                  <a:schemeClr val="accent1">
                    <a:satMod val="175000"/>
                    <a:alpha val="40000"/>
                  </a:schemeClr>
                </a:glow>
                <a:outerShdw blurRad="19685" dist="12700" dir="5400000" algn="tl" rotWithShape="0">
                  <a:schemeClr val="accent1">
                    <a:satMod val="130000"/>
                    <a:alpha val="60000"/>
                  </a:schemeClr>
                </a:outerShdw>
                <a:reflection blurRad="10000" stA="55000" endPos="48000" dist="500" dir="5400000" sy="-100000" algn="bl" rotWithShape="0"/>
              </a:effectLst>
            </a:rPr>
            <a:t>BASE DE CLIENTE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19051</xdr:colOff>
      <xdr:row>0</xdr:row>
      <xdr:rowOff>0</xdr:rowOff>
    </xdr:from>
    <xdr:to>
      <xdr:col>26</xdr:col>
      <xdr:colOff>219075</xdr:colOff>
      <xdr:row>1</xdr:row>
      <xdr:rowOff>0</xdr:rowOff>
    </xdr:to>
    <xdr:sp macro="" textlink="">
      <xdr:nvSpPr>
        <xdr:cNvPr id="2" name="1 Proceso alternativo">
          <a:hlinkClick xmlns:r="http://schemas.openxmlformats.org/officeDocument/2006/relationships" r:id="rId1"/>
        </xdr:cNvPr>
        <xdr:cNvSpPr/>
      </xdr:nvSpPr>
      <xdr:spPr>
        <a:xfrm>
          <a:off x="14563726" y="0"/>
          <a:ext cx="971549" cy="276225"/>
        </a:xfrm>
        <a:prstGeom prst="flowChartAlternateProcess">
          <a:avLst/>
        </a:prstGeom>
        <a:gradFill>
          <a:gsLst>
            <a:gs pos="0">
              <a:srgbClr val="000000"/>
            </a:gs>
            <a:gs pos="39999">
              <a:srgbClr val="0A128C"/>
            </a:gs>
            <a:gs pos="70000">
              <a:srgbClr val="181CC7"/>
            </a:gs>
            <a:gs pos="88000">
              <a:srgbClr val="7005D4"/>
            </a:gs>
            <a:gs pos="100000">
              <a:srgbClr val="8C3D91"/>
            </a:gs>
          </a:gsLst>
          <a:path path="rect">
            <a:fillToRect l="100000" t="100000"/>
          </a:path>
        </a:gradFill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/>
          <a:bevelB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100">
              <a:latin typeface="Impact" pitchFamily="34" charset="0"/>
            </a:rPr>
            <a:t>DECLARACION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CLIENTES%20DE%20IVA/BASE%20DE%20CLIENTES%20IVA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>02040305560017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05111703630014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SERTRACEN S.A DE C.V.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12171906520017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>
    <tabColor theme="0" tint="-0.499984740745262"/>
  </sheetPr>
  <dimension ref="A1:X5000"/>
  <sheetViews>
    <sheetView showGridLines="0" tabSelected="1" zoomScaleNormal="100" workbookViewId="0">
      <pane xSplit="5" ySplit="1" topLeftCell="G529" activePane="bottomRight" state="frozen"/>
      <selection activeCell="E102" sqref="E102"/>
      <selection pane="topRight" activeCell="E102" sqref="E102"/>
      <selection pane="bottomLeft" activeCell="E102" sqref="E102"/>
      <selection pane="bottomRight" activeCell="A540" sqref="A540"/>
    </sheetView>
  </sheetViews>
  <sheetFormatPr baseColWidth="10" defaultColWidth="11.5703125" defaultRowHeight="15" x14ac:dyDescent="0.25"/>
  <cols>
    <col min="1" max="1" width="7.5703125" style="7" customWidth="1"/>
    <col min="2" max="2" width="4.7109375" style="4" customWidth="1"/>
    <col min="3" max="6" width="7.5703125" style="4" hidden="1" customWidth="1"/>
    <col min="7" max="7" width="11.5703125" style="7" customWidth="1"/>
    <col min="8" max="9" width="11.5703125" style="4" customWidth="1"/>
    <col min="10" max="10" width="11.5703125" style="7" customWidth="1"/>
    <col min="11" max="11" width="15" style="7" customWidth="1"/>
    <col min="12" max="12" width="49.28515625" style="9" bestFit="1" customWidth="1"/>
    <col min="13" max="13" width="11.5703125" style="73"/>
    <col min="14" max="15" width="11.5703125" style="7" customWidth="1"/>
    <col min="16" max="16" width="11.5703125" style="10"/>
    <col min="17" max="17" width="11.5703125" style="29" customWidth="1"/>
    <col min="18" max="19" width="11.5703125" style="32" customWidth="1"/>
    <col min="20" max="20" width="11.140625" style="29" customWidth="1"/>
    <col min="21" max="21" width="11.5703125" style="28"/>
    <col min="22" max="22" width="11.5703125" style="4"/>
    <col min="23" max="23" width="11.5703125" style="1"/>
    <col min="24" max="24" width="11.5703125" style="2"/>
    <col min="25" max="16384" width="11.5703125" style="1"/>
  </cols>
  <sheetData>
    <row r="1" spans="1:24" ht="23.25" customHeight="1" x14ac:dyDescent="0.25">
      <c r="A1" s="11" t="s">
        <v>22</v>
      </c>
      <c r="B1" s="12"/>
      <c r="C1" s="13" t="s">
        <v>32</v>
      </c>
      <c r="D1" s="13"/>
      <c r="E1" s="13"/>
      <c r="F1" s="14"/>
      <c r="G1" s="11" t="s">
        <v>4</v>
      </c>
      <c r="H1" s="12" t="s">
        <v>5</v>
      </c>
      <c r="I1" s="14" t="s">
        <v>6</v>
      </c>
      <c r="J1" s="11" t="s">
        <v>7</v>
      </c>
      <c r="K1" s="11" t="s">
        <v>8</v>
      </c>
      <c r="L1" s="15" t="s">
        <v>9</v>
      </c>
      <c r="M1" s="72" t="s">
        <v>10</v>
      </c>
      <c r="N1" s="11" t="s">
        <v>11</v>
      </c>
      <c r="O1" s="11" t="s">
        <v>12</v>
      </c>
      <c r="P1" s="21" t="s">
        <v>13</v>
      </c>
      <c r="Q1" s="21" t="s">
        <v>14</v>
      </c>
      <c r="R1" s="30" t="s">
        <v>16</v>
      </c>
      <c r="S1" s="31" t="s">
        <v>15</v>
      </c>
      <c r="T1" s="21" t="s">
        <v>17</v>
      </c>
      <c r="U1" s="27" t="s">
        <v>18</v>
      </c>
      <c r="V1" s="6" t="s">
        <v>19</v>
      </c>
      <c r="X1" s="2" t="s">
        <v>17</v>
      </c>
    </row>
    <row r="2" spans="1:24" hidden="1" x14ac:dyDescent="0.25">
      <c r="A2" s="7" t="s">
        <v>23</v>
      </c>
      <c r="C2" s="4" t="s">
        <v>42</v>
      </c>
      <c r="D2" s="4" t="s">
        <v>61</v>
      </c>
      <c r="E2" s="4" t="s">
        <v>30</v>
      </c>
      <c r="F2" s="4" t="s">
        <v>31</v>
      </c>
      <c r="G2" s="8" t="str">
        <f t="shared" ref="G2:G33" si="0">+C2&amp;F2&amp;D2&amp;F2&amp;E2</f>
        <v>25/01/2021</v>
      </c>
      <c r="H2" s="4" t="s">
        <v>1</v>
      </c>
      <c r="I2" s="4" t="s">
        <v>0</v>
      </c>
      <c r="J2" s="7" t="s">
        <v>113</v>
      </c>
      <c r="K2" s="7" t="s">
        <v>112</v>
      </c>
      <c r="L2" s="9" t="str">
        <f>+VLOOKUP(K2,'[1]BASE DE PROVEEDORES'!$A:$B,2,0)</f>
        <v>ALPINA S.A DE C.V.</v>
      </c>
      <c r="M2" s="10">
        <v>0</v>
      </c>
      <c r="N2" s="7" t="s">
        <v>2</v>
      </c>
      <c r="O2" s="7" t="s">
        <v>2</v>
      </c>
      <c r="P2" s="10">
        <v>33.4</v>
      </c>
      <c r="Q2" s="29" t="s">
        <v>2</v>
      </c>
      <c r="R2" s="32" t="s">
        <v>2</v>
      </c>
      <c r="S2" s="32" t="s">
        <v>2</v>
      </c>
      <c r="T2" s="29">
        <f t="shared" ref="T2:T33" si="1">+P2*0.13</f>
        <v>4.3419999999999996</v>
      </c>
      <c r="U2" s="29">
        <f t="shared" ref="U2:U33" si="2">+M2+P2+T2</f>
        <v>37.741999999999997</v>
      </c>
      <c r="V2" s="4" t="s">
        <v>3</v>
      </c>
      <c r="X2" s="3">
        <f t="shared" ref="X2:X33" si="3">+ROUND(T2,2)</f>
        <v>4.34</v>
      </c>
    </row>
    <row r="3" spans="1:24" hidden="1" x14ac:dyDescent="0.25">
      <c r="A3" s="7" t="s">
        <v>23</v>
      </c>
      <c r="C3" s="4" t="s">
        <v>44</v>
      </c>
      <c r="D3" s="4" t="s">
        <v>61</v>
      </c>
      <c r="E3" s="4" t="s">
        <v>30</v>
      </c>
      <c r="F3" s="4" t="s">
        <v>31</v>
      </c>
      <c r="G3" s="8" t="str">
        <f t="shared" si="0"/>
        <v>26/01/2021</v>
      </c>
      <c r="H3" s="4" t="s">
        <v>1</v>
      </c>
      <c r="I3" s="4" t="s">
        <v>0</v>
      </c>
      <c r="J3" s="7" t="s">
        <v>111</v>
      </c>
      <c r="K3" s="7" t="s">
        <v>112</v>
      </c>
      <c r="L3" s="9" t="str">
        <f>+VLOOKUP(K3,'[1]BASE DE PROVEEDORES'!$A:$B,2,0)</f>
        <v>ALPINA S.A DE C.V.</v>
      </c>
      <c r="M3" s="10">
        <v>0</v>
      </c>
      <c r="N3" s="7" t="s">
        <v>2</v>
      </c>
      <c r="O3" s="7" t="s">
        <v>2</v>
      </c>
      <c r="P3" s="10">
        <v>57.42</v>
      </c>
      <c r="Q3" s="29" t="s">
        <v>2</v>
      </c>
      <c r="R3" s="32" t="s">
        <v>2</v>
      </c>
      <c r="S3" s="32" t="s">
        <v>2</v>
      </c>
      <c r="T3" s="29">
        <f t="shared" si="1"/>
        <v>7.4646000000000008</v>
      </c>
      <c r="U3" s="29">
        <f t="shared" si="2"/>
        <v>64.884600000000006</v>
      </c>
      <c r="V3" s="4" t="s">
        <v>3</v>
      </c>
      <c r="X3" s="3">
        <f t="shared" si="3"/>
        <v>7.46</v>
      </c>
    </row>
    <row r="4" spans="1:24" hidden="1" x14ac:dyDescent="0.25">
      <c r="A4" s="7" t="s">
        <v>23</v>
      </c>
      <c r="C4" s="4" t="s">
        <v>27</v>
      </c>
      <c r="D4" s="4" t="s">
        <v>43</v>
      </c>
      <c r="E4" s="4" t="s">
        <v>30</v>
      </c>
      <c r="F4" s="4" t="s">
        <v>31</v>
      </c>
      <c r="G4" s="8" t="str">
        <f t="shared" si="0"/>
        <v>10/02/2021</v>
      </c>
      <c r="H4" s="4" t="s">
        <v>1</v>
      </c>
      <c r="I4" s="4" t="s">
        <v>0</v>
      </c>
      <c r="J4" s="7" t="s">
        <v>121</v>
      </c>
      <c r="K4" s="7" t="s">
        <v>112</v>
      </c>
      <c r="L4" s="9" t="str">
        <f>+VLOOKUP(K4,'[1]BASE DE PROVEEDORES'!$A:$B,2,0)</f>
        <v>ALPINA S.A DE C.V.</v>
      </c>
      <c r="M4" s="10">
        <v>0</v>
      </c>
      <c r="N4" s="7" t="s">
        <v>2</v>
      </c>
      <c r="O4" s="7" t="s">
        <v>2</v>
      </c>
      <c r="P4" s="10">
        <v>163.9</v>
      </c>
      <c r="Q4" s="29" t="s">
        <v>2</v>
      </c>
      <c r="R4" s="32" t="s">
        <v>2</v>
      </c>
      <c r="S4" s="32" t="s">
        <v>2</v>
      </c>
      <c r="T4" s="29">
        <f t="shared" si="1"/>
        <v>21.307000000000002</v>
      </c>
      <c r="U4" s="29">
        <f t="shared" si="2"/>
        <v>185.20699999999999</v>
      </c>
      <c r="V4" s="4" t="s">
        <v>3</v>
      </c>
      <c r="X4" s="3">
        <f t="shared" si="3"/>
        <v>21.31</v>
      </c>
    </row>
    <row r="5" spans="1:24" hidden="1" x14ac:dyDescent="0.25">
      <c r="A5" s="7" t="s">
        <v>23</v>
      </c>
      <c r="C5" s="4" t="s">
        <v>44</v>
      </c>
      <c r="D5" s="4" t="s">
        <v>43</v>
      </c>
      <c r="E5" s="4" t="s">
        <v>30</v>
      </c>
      <c r="F5" s="4" t="s">
        <v>31</v>
      </c>
      <c r="G5" s="8" t="str">
        <f t="shared" si="0"/>
        <v>26/02/2021</v>
      </c>
      <c r="H5" s="4" t="s">
        <v>1</v>
      </c>
      <c r="I5" s="4" t="s">
        <v>0</v>
      </c>
      <c r="J5" s="7" t="s">
        <v>120</v>
      </c>
      <c r="K5" s="7" t="s">
        <v>112</v>
      </c>
      <c r="L5" s="9" t="str">
        <f>+VLOOKUP(K5,'[1]BASE DE PROVEEDORES'!$A:$B,2,0)</f>
        <v>ALPINA S.A DE C.V.</v>
      </c>
      <c r="M5" s="10">
        <v>0</v>
      </c>
      <c r="N5" s="7" t="s">
        <v>2</v>
      </c>
      <c r="O5" s="7" t="s">
        <v>2</v>
      </c>
      <c r="P5" s="10">
        <v>44.95</v>
      </c>
      <c r="Q5" s="29" t="s">
        <v>2</v>
      </c>
      <c r="R5" s="32" t="s">
        <v>2</v>
      </c>
      <c r="S5" s="32" t="s">
        <v>2</v>
      </c>
      <c r="T5" s="29">
        <f t="shared" si="1"/>
        <v>5.8435000000000006</v>
      </c>
      <c r="U5" s="29">
        <f t="shared" si="2"/>
        <v>50.793500000000002</v>
      </c>
      <c r="V5" s="4" t="s">
        <v>3</v>
      </c>
      <c r="X5" s="3">
        <f t="shared" si="3"/>
        <v>5.84</v>
      </c>
    </row>
    <row r="6" spans="1:24" hidden="1" x14ac:dyDescent="0.25">
      <c r="A6" s="7" t="s">
        <v>23</v>
      </c>
      <c r="C6" s="4" t="s">
        <v>68</v>
      </c>
      <c r="D6" s="4" t="s">
        <v>43</v>
      </c>
      <c r="E6" s="4" t="s">
        <v>30</v>
      </c>
      <c r="F6" s="4" t="s">
        <v>31</v>
      </c>
      <c r="G6" s="8" t="str">
        <f t="shared" si="0"/>
        <v>28/02/2021</v>
      </c>
      <c r="H6" s="4" t="s">
        <v>1</v>
      </c>
      <c r="I6" s="4" t="s">
        <v>0</v>
      </c>
      <c r="J6" s="7" t="s">
        <v>116</v>
      </c>
      <c r="K6" s="7" t="s">
        <v>117</v>
      </c>
      <c r="L6" s="9" t="str">
        <f>+VLOOKUP(K6,'[1]BASE DE PROVEEDORES'!$A:$B,2,0)</f>
        <v>PULSEM DE C.V.</v>
      </c>
      <c r="M6" s="10">
        <v>0</v>
      </c>
      <c r="N6" s="7" t="s">
        <v>2</v>
      </c>
      <c r="O6" s="7" t="s">
        <v>2</v>
      </c>
      <c r="P6" s="10">
        <v>1308.4000000000001</v>
      </c>
      <c r="Q6" s="29" t="s">
        <v>2</v>
      </c>
      <c r="R6" s="32" t="s">
        <v>2</v>
      </c>
      <c r="S6" s="32" t="s">
        <v>2</v>
      </c>
      <c r="T6" s="29">
        <f t="shared" si="1"/>
        <v>170.09200000000001</v>
      </c>
      <c r="U6" s="29">
        <f t="shared" si="2"/>
        <v>1478.4920000000002</v>
      </c>
      <c r="V6" s="4" t="s">
        <v>3</v>
      </c>
      <c r="X6" s="3">
        <f t="shared" si="3"/>
        <v>170.09</v>
      </c>
    </row>
    <row r="7" spans="1:24" hidden="1" x14ac:dyDescent="0.25">
      <c r="A7" s="7" t="s">
        <v>23</v>
      </c>
      <c r="C7" s="4" t="s">
        <v>68</v>
      </c>
      <c r="D7" s="4" t="s">
        <v>43</v>
      </c>
      <c r="E7" s="4" t="s">
        <v>30</v>
      </c>
      <c r="F7" s="4" t="s">
        <v>31</v>
      </c>
      <c r="G7" s="8" t="str">
        <f t="shared" si="0"/>
        <v>28/02/2021</v>
      </c>
      <c r="H7" s="4" t="s">
        <v>1</v>
      </c>
      <c r="I7" s="4" t="s">
        <v>0</v>
      </c>
      <c r="J7" s="7" t="s">
        <v>118</v>
      </c>
      <c r="K7" s="7" t="s">
        <v>119</v>
      </c>
      <c r="L7" s="9" t="str">
        <f>+VLOOKUP(K7,'[1]BASE DE PROVEEDORES'!$A:$B,2,0)</f>
        <v>EFRAIN MEDARDO PEÑA</v>
      </c>
      <c r="M7" s="10">
        <v>0</v>
      </c>
      <c r="N7" s="7" t="s">
        <v>2</v>
      </c>
      <c r="O7" s="7" t="s">
        <v>2</v>
      </c>
      <c r="P7" s="10">
        <v>24.6</v>
      </c>
      <c r="Q7" s="29" t="s">
        <v>2</v>
      </c>
      <c r="R7" s="32" t="s">
        <v>2</v>
      </c>
      <c r="S7" s="32" t="s">
        <v>2</v>
      </c>
      <c r="T7" s="29">
        <f t="shared" si="1"/>
        <v>3.1980000000000004</v>
      </c>
      <c r="U7" s="29">
        <f t="shared" si="2"/>
        <v>27.798000000000002</v>
      </c>
      <c r="V7" s="4" t="s">
        <v>3</v>
      </c>
      <c r="X7" s="3">
        <f t="shared" si="3"/>
        <v>3.2</v>
      </c>
    </row>
    <row r="8" spans="1:24" hidden="1" x14ac:dyDescent="0.25">
      <c r="A8" s="7" t="s">
        <v>23</v>
      </c>
      <c r="C8" s="4" t="s">
        <v>68</v>
      </c>
      <c r="D8" s="4" t="s">
        <v>43</v>
      </c>
      <c r="E8" s="4" t="s">
        <v>30</v>
      </c>
      <c r="F8" s="4" t="s">
        <v>31</v>
      </c>
      <c r="G8" s="8" t="str">
        <f t="shared" si="0"/>
        <v>28/02/2021</v>
      </c>
      <c r="H8" s="4" t="s">
        <v>1</v>
      </c>
      <c r="I8" s="4" t="s">
        <v>0</v>
      </c>
      <c r="J8" s="7" t="s">
        <v>135</v>
      </c>
      <c r="K8" s="7" t="s">
        <v>136</v>
      </c>
      <c r="L8" s="9" t="str">
        <f>+VLOOKUP(K8,'[1]BASE DE PROVEEDORES'!$A:$B,2,0)</f>
        <v>CTE TELECOM PERSONAL S.A DE C.V.</v>
      </c>
      <c r="M8" s="10">
        <v>0</v>
      </c>
      <c r="N8" s="7" t="s">
        <v>2</v>
      </c>
      <c r="O8" s="7" t="s">
        <v>2</v>
      </c>
      <c r="P8" s="10">
        <v>75.88</v>
      </c>
      <c r="Q8" s="29" t="s">
        <v>2</v>
      </c>
      <c r="R8" s="32" t="s">
        <v>2</v>
      </c>
      <c r="S8" s="32" t="s">
        <v>2</v>
      </c>
      <c r="T8" s="29">
        <f t="shared" si="1"/>
        <v>9.8643999999999998</v>
      </c>
      <c r="U8" s="29">
        <f t="shared" si="2"/>
        <v>85.744399999999999</v>
      </c>
      <c r="V8" s="4" t="s">
        <v>3</v>
      </c>
      <c r="X8" s="3">
        <f t="shared" si="3"/>
        <v>9.86</v>
      </c>
    </row>
    <row r="9" spans="1:24" hidden="1" x14ac:dyDescent="0.25">
      <c r="A9" s="7" t="s">
        <v>23</v>
      </c>
      <c r="C9" s="4" t="s">
        <v>61</v>
      </c>
      <c r="D9" s="4" t="s">
        <v>0</v>
      </c>
      <c r="E9" s="4" t="s">
        <v>30</v>
      </c>
      <c r="F9" s="4" t="s">
        <v>31</v>
      </c>
      <c r="G9" s="8" t="str">
        <f t="shared" si="0"/>
        <v>01/03/2021</v>
      </c>
      <c r="H9" s="4" t="s">
        <v>1</v>
      </c>
      <c r="I9" s="4" t="s">
        <v>0</v>
      </c>
      <c r="J9" s="7" t="s">
        <v>62</v>
      </c>
      <c r="K9" s="7" t="s">
        <v>45</v>
      </c>
      <c r="L9" s="9" t="str">
        <f>+VLOOKUP(K9,'[1]BASE DE PROVEEDORES'!$A:$B,2,0)</f>
        <v>JOSE RICARDO ANTONIO MOLINA</v>
      </c>
      <c r="M9" s="10">
        <v>6.51</v>
      </c>
      <c r="N9" s="7" t="s">
        <v>2</v>
      </c>
      <c r="O9" s="7" t="s">
        <v>2</v>
      </c>
      <c r="P9" s="10">
        <v>47.26</v>
      </c>
      <c r="Q9" s="29" t="s">
        <v>2</v>
      </c>
      <c r="R9" s="32" t="s">
        <v>2</v>
      </c>
      <c r="S9" s="32" t="s">
        <v>2</v>
      </c>
      <c r="T9" s="29">
        <f t="shared" si="1"/>
        <v>6.1437999999999997</v>
      </c>
      <c r="U9" s="29">
        <f t="shared" si="2"/>
        <v>59.913799999999995</v>
      </c>
      <c r="V9" s="4" t="s">
        <v>3</v>
      </c>
      <c r="X9" s="3">
        <f t="shared" si="3"/>
        <v>6.14</v>
      </c>
    </row>
    <row r="10" spans="1:24" hidden="1" x14ac:dyDescent="0.25">
      <c r="A10" s="7" t="s">
        <v>23</v>
      </c>
      <c r="C10" s="4" t="s">
        <v>61</v>
      </c>
      <c r="D10" s="4" t="s">
        <v>0</v>
      </c>
      <c r="E10" s="4" t="s">
        <v>30</v>
      </c>
      <c r="F10" s="4" t="s">
        <v>31</v>
      </c>
      <c r="G10" s="8" t="str">
        <f t="shared" si="0"/>
        <v>01/03/2021</v>
      </c>
      <c r="H10" s="4" t="s">
        <v>1</v>
      </c>
      <c r="I10" s="4" t="s">
        <v>0</v>
      </c>
      <c r="J10" s="7" t="s">
        <v>63</v>
      </c>
      <c r="K10" s="7" t="s">
        <v>45</v>
      </c>
      <c r="L10" s="9" t="str">
        <f>+VLOOKUP(K10,'[1]BASE DE PROVEEDORES'!$A:$B,2,0)</f>
        <v>JOSE RICARDO ANTONIO MOLINA</v>
      </c>
      <c r="M10" s="10">
        <v>10.87</v>
      </c>
      <c r="N10" s="7" t="s">
        <v>2</v>
      </c>
      <c r="O10" s="7" t="s">
        <v>2</v>
      </c>
      <c r="P10" s="10">
        <v>78.87</v>
      </c>
      <c r="Q10" s="29" t="s">
        <v>2</v>
      </c>
      <c r="R10" s="32" t="s">
        <v>2</v>
      </c>
      <c r="S10" s="32" t="s">
        <v>2</v>
      </c>
      <c r="T10" s="29">
        <f t="shared" si="1"/>
        <v>10.253100000000002</v>
      </c>
      <c r="U10" s="29">
        <f t="shared" si="2"/>
        <v>99.993100000000013</v>
      </c>
      <c r="V10" s="4" t="s">
        <v>3</v>
      </c>
      <c r="X10" s="3">
        <f t="shared" si="3"/>
        <v>10.25</v>
      </c>
    </row>
    <row r="11" spans="1:24" hidden="1" x14ac:dyDescent="0.25">
      <c r="A11" s="7" t="s">
        <v>23</v>
      </c>
      <c r="C11" s="4" t="s">
        <v>61</v>
      </c>
      <c r="D11" s="4" t="s">
        <v>0</v>
      </c>
      <c r="E11" s="4" t="s">
        <v>30</v>
      </c>
      <c r="F11" s="4" t="s">
        <v>31</v>
      </c>
      <c r="G11" s="8" t="str">
        <f t="shared" si="0"/>
        <v>01/03/2021</v>
      </c>
      <c r="H11" s="4" t="s">
        <v>1</v>
      </c>
      <c r="I11" s="4" t="s">
        <v>0</v>
      </c>
      <c r="J11" s="7" t="s">
        <v>108</v>
      </c>
      <c r="K11" s="7" t="s">
        <v>28</v>
      </c>
      <c r="L11" s="9" t="str">
        <f>+VLOOKUP(K11,'[1]BASE DE PROVEEDORES'!$A:$B,2,0)</f>
        <v xml:space="preserve">ACTIVIDADES PETROLERAS DE EL SALVADOR S.A DE C.V </v>
      </c>
      <c r="M11" s="10">
        <v>3.88</v>
      </c>
      <c r="N11" s="7" t="s">
        <v>2</v>
      </c>
      <c r="O11" s="7" t="s">
        <v>2</v>
      </c>
      <c r="P11" s="10">
        <v>28.17</v>
      </c>
      <c r="Q11" s="29" t="s">
        <v>2</v>
      </c>
      <c r="R11" s="32" t="s">
        <v>2</v>
      </c>
      <c r="S11" s="32" t="s">
        <v>2</v>
      </c>
      <c r="T11" s="29">
        <f t="shared" si="1"/>
        <v>3.6621000000000001</v>
      </c>
      <c r="U11" s="29">
        <f t="shared" si="2"/>
        <v>35.712100000000007</v>
      </c>
      <c r="V11" s="4" t="s">
        <v>3</v>
      </c>
      <c r="X11" s="3">
        <f t="shared" si="3"/>
        <v>3.66</v>
      </c>
    </row>
    <row r="12" spans="1:24" hidden="1" x14ac:dyDescent="0.25">
      <c r="A12" s="7" t="s">
        <v>23</v>
      </c>
      <c r="C12" s="4" t="s">
        <v>61</v>
      </c>
      <c r="D12" s="4" t="s">
        <v>0</v>
      </c>
      <c r="E12" s="4" t="s">
        <v>30</v>
      </c>
      <c r="F12" s="4" t="s">
        <v>31</v>
      </c>
      <c r="G12" s="8" t="str">
        <f t="shared" si="0"/>
        <v>01/03/2021</v>
      </c>
      <c r="H12" s="4" t="s">
        <v>1</v>
      </c>
      <c r="I12" s="4" t="s">
        <v>0</v>
      </c>
      <c r="J12" s="7" t="s">
        <v>109</v>
      </c>
      <c r="K12" s="7" t="s">
        <v>110</v>
      </c>
      <c r="L12" s="9" t="str">
        <f>+VLOOKUP(K12,'[1]BASE DE PROVEEDORES'!$A:$B,2,0)</f>
        <v>ANA GLADYS CORDOBA</v>
      </c>
      <c r="M12" s="10">
        <v>0</v>
      </c>
      <c r="N12" s="7" t="s">
        <v>2</v>
      </c>
      <c r="O12" s="7" t="s">
        <v>2</v>
      </c>
      <c r="P12" s="10">
        <v>150</v>
      </c>
      <c r="Q12" s="29" t="s">
        <v>2</v>
      </c>
      <c r="R12" s="32" t="s">
        <v>2</v>
      </c>
      <c r="S12" s="32" t="s">
        <v>2</v>
      </c>
      <c r="T12" s="29">
        <f t="shared" si="1"/>
        <v>19.5</v>
      </c>
      <c r="U12" s="29">
        <f t="shared" si="2"/>
        <v>169.5</v>
      </c>
      <c r="V12" s="4" t="s">
        <v>3</v>
      </c>
      <c r="X12" s="3">
        <f t="shared" si="3"/>
        <v>19.5</v>
      </c>
    </row>
    <row r="13" spans="1:24" hidden="1" x14ac:dyDescent="0.25">
      <c r="A13" s="7" t="s">
        <v>23</v>
      </c>
      <c r="C13" s="4" t="s">
        <v>61</v>
      </c>
      <c r="D13" s="4" t="s">
        <v>0</v>
      </c>
      <c r="E13" s="4" t="s">
        <v>30</v>
      </c>
      <c r="F13" s="4" t="s">
        <v>31</v>
      </c>
      <c r="G13" s="8" t="str">
        <f t="shared" si="0"/>
        <v>01/03/2021</v>
      </c>
      <c r="H13" s="4" t="s">
        <v>1</v>
      </c>
      <c r="I13" s="4" t="s">
        <v>0</v>
      </c>
      <c r="J13" s="7" t="s">
        <v>194</v>
      </c>
      <c r="K13" s="7" t="s">
        <v>172</v>
      </c>
      <c r="L13" s="9" t="str">
        <f>+VLOOKUP(K13,'[1]BASE DE PROVEEDORES'!$A:$B,2,0)</f>
        <v>MANEJO INTEGRAL DE DESECHOS SOLIDOS SEM DE C.V.</v>
      </c>
      <c r="M13" s="10">
        <v>0</v>
      </c>
      <c r="N13" s="7" t="s">
        <v>2</v>
      </c>
      <c r="O13" s="7" t="s">
        <v>2</v>
      </c>
      <c r="P13" s="10">
        <v>83.82</v>
      </c>
      <c r="Q13" s="29" t="s">
        <v>2</v>
      </c>
      <c r="R13" s="32" t="s">
        <v>2</v>
      </c>
      <c r="S13" s="32" t="s">
        <v>2</v>
      </c>
      <c r="T13" s="29">
        <f t="shared" si="1"/>
        <v>10.896599999999999</v>
      </c>
      <c r="U13" s="29">
        <f t="shared" si="2"/>
        <v>94.7166</v>
      </c>
      <c r="V13" s="4" t="s">
        <v>3</v>
      </c>
      <c r="X13" s="3">
        <f t="shared" si="3"/>
        <v>10.9</v>
      </c>
    </row>
    <row r="14" spans="1:24" hidden="1" x14ac:dyDescent="0.25">
      <c r="A14" s="7" t="s">
        <v>23</v>
      </c>
      <c r="C14" s="4" t="s">
        <v>43</v>
      </c>
      <c r="D14" s="4" t="s">
        <v>0</v>
      </c>
      <c r="E14" s="4" t="s">
        <v>30</v>
      </c>
      <c r="F14" s="4" t="s">
        <v>31</v>
      </c>
      <c r="G14" s="8" t="str">
        <f t="shared" si="0"/>
        <v>02/03/2021</v>
      </c>
      <c r="H14" s="4" t="s">
        <v>1</v>
      </c>
      <c r="I14" s="4" t="s">
        <v>0</v>
      </c>
      <c r="J14" s="7" t="s">
        <v>107</v>
      </c>
      <c r="K14" s="7" t="s">
        <v>28</v>
      </c>
      <c r="L14" s="9" t="str">
        <f>+VLOOKUP(K14,'[1]BASE DE PROVEEDORES'!$A:$B,2,0)</f>
        <v xml:space="preserve">ACTIVIDADES PETROLERAS DE EL SALVADOR S.A DE C.V </v>
      </c>
      <c r="M14" s="10">
        <v>2.78</v>
      </c>
      <c r="N14" s="7" t="s">
        <v>2</v>
      </c>
      <c r="O14" s="7" t="s">
        <v>2</v>
      </c>
      <c r="P14" s="10">
        <v>24.09</v>
      </c>
      <c r="Q14" s="29" t="s">
        <v>2</v>
      </c>
      <c r="R14" s="32" t="s">
        <v>2</v>
      </c>
      <c r="S14" s="32" t="s">
        <v>2</v>
      </c>
      <c r="T14" s="29">
        <f t="shared" si="1"/>
        <v>3.1316999999999999</v>
      </c>
      <c r="U14" s="29">
        <f t="shared" si="2"/>
        <v>30.0017</v>
      </c>
      <c r="V14" s="4" t="s">
        <v>3</v>
      </c>
      <c r="X14" s="3">
        <f t="shared" si="3"/>
        <v>3.13</v>
      </c>
    </row>
    <row r="15" spans="1:24" hidden="1" x14ac:dyDescent="0.25">
      <c r="A15" s="7" t="s">
        <v>23</v>
      </c>
      <c r="C15" s="4" t="s">
        <v>43</v>
      </c>
      <c r="D15" s="4" t="s">
        <v>0</v>
      </c>
      <c r="E15" s="4" t="s">
        <v>30</v>
      </c>
      <c r="F15" s="4" t="s">
        <v>31</v>
      </c>
      <c r="G15" s="8" t="str">
        <f t="shared" si="0"/>
        <v>02/03/2021</v>
      </c>
      <c r="H15" s="4" t="s">
        <v>1</v>
      </c>
      <c r="I15" s="4" t="s">
        <v>0</v>
      </c>
      <c r="J15" s="7" t="s">
        <v>171</v>
      </c>
      <c r="K15" s="7" t="s">
        <v>172</v>
      </c>
      <c r="L15" s="9" t="str">
        <f>+VLOOKUP(K15,'[1]BASE DE PROVEEDORES'!$A:$B,2,0)</f>
        <v>MANEJO INTEGRAL DE DESECHOS SOLIDOS SEM DE C.V.</v>
      </c>
      <c r="M15" s="10">
        <v>0</v>
      </c>
      <c r="N15" s="7" t="s">
        <v>2</v>
      </c>
      <c r="O15" s="7" t="s">
        <v>2</v>
      </c>
      <c r="P15" s="10">
        <v>45.77</v>
      </c>
      <c r="Q15" s="29" t="s">
        <v>2</v>
      </c>
      <c r="R15" s="32" t="s">
        <v>2</v>
      </c>
      <c r="S15" s="32" t="s">
        <v>2</v>
      </c>
      <c r="T15" s="29">
        <f t="shared" si="1"/>
        <v>5.9501000000000008</v>
      </c>
      <c r="U15" s="29">
        <f t="shared" si="2"/>
        <v>51.720100000000002</v>
      </c>
      <c r="V15" s="4" t="s">
        <v>3</v>
      </c>
      <c r="X15" s="3">
        <f t="shared" si="3"/>
        <v>5.95</v>
      </c>
    </row>
    <row r="16" spans="1:24" hidden="1" x14ac:dyDescent="0.25">
      <c r="A16" s="7" t="s">
        <v>23</v>
      </c>
      <c r="C16" s="4" t="s">
        <v>43</v>
      </c>
      <c r="D16" s="4" t="s">
        <v>0</v>
      </c>
      <c r="E16" s="4" t="s">
        <v>30</v>
      </c>
      <c r="F16" s="4" t="s">
        <v>31</v>
      </c>
      <c r="G16" s="8" t="str">
        <f t="shared" si="0"/>
        <v>02/03/2021</v>
      </c>
      <c r="H16" s="4" t="s">
        <v>1</v>
      </c>
      <c r="I16" s="4" t="s">
        <v>0</v>
      </c>
      <c r="J16" s="7" t="s">
        <v>182</v>
      </c>
      <c r="K16" s="7" t="s">
        <v>172</v>
      </c>
      <c r="L16" s="9" t="str">
        <f>+VLOOKUP(K16,'[1]BASE DE PROVEEDORES'!$A:$B,2,0)</f>
        <v>MANEJO INTEGRAL DE DESECHOS SOLIDOS SEM DE C.V.</v>
      </c>
      <c r="M16" s="10">
        <v>0</v>
      </c>
      <c r="N16" s="7" t="s">
        <v>2</v>
      </c>
      <c r="O16" s="7" t="s">
        <v>2</v>
      </c>
      <c r="P16" s="10">
        <v>72.72</v>
      </c>
      <c r="Q16" s="29" t="s">
        <v>2</v>
      </c>
      <c r="R16" s="32" t="s">
        <v>2</v>
      </c>
      <c r="S16" s="32" t="s">
        <v>2</v>
      </c>
      <c r="T16" s="29">
        <f t="shared" si="1"/>
        <v>9.4535999999999998</v>
      </c>
      <c r="U16" s="29">
        <f t="shared" si="2"/>
        <v>82.173599999999993</v>
      </c>
      <c r="V16" s="4" t="s">
        <v>3</v>
      </c>
      <c r="X16" s="3">
        <f t="shared" si="3"/>
        <v>9.4499999999999993</v>
      </c>
    </row>
    <row r="17" spans="1:24" hidden="1" x14ac:dyDescent="0.25">
      <c r="A17" s="7" t="s">
        <v>23</v>
      </c>
      <c r="C17" s="4" t="s">
        <v>0</v>
      </c>
      <c r="D17" s="4" t="s">
        <v>0</v>
      </c>
      <c r="E17" s="4" t="s">
        <v>30</v>
      </c>
      <c r="F17" s="4" t="s">
        <v>31</v>
      </c>
      <c r="G17" s="8" t="str">
        <f t="shared" si="0"/>
        <v>03/03/2021</v>
      </c>
      <c r="H17" s="4" t="s">
        <v>1</v>
      </c>
      <c r="I17" s="4" t="s">
        <v>0</v>
      </c>
      <c r="J17" s="7" t="s">
        <v>60</v>
      </c>
      <c r="K17" s="7" t="s">
        <v>45</v>
      </c>
      <c r="L17" s="9" t="str">
        <f>+VLOOKUP(K17,'[1]BASE DE PROVEEDORES'!$A:$B,2,0)</f>
        <v>JOSE RICARDO ANTONIO MOLINA</v>
      </c>
      <c r="M17" s="10">
        <v>10.33</v>
      </c>
      <c r="N17" s="7" t="s">
        <v>2</v>
      </c>
      <c r="O17" s="7" t="s">
        <v>2</v>
      </c>
      <c r="P17" s="10">
        <v>74.930000000000007</v>
      </c>
      <c r="Q17" s="29" t="s">
        <v>2</v>
      </c>
      <c r="R17" s="32" t="s">
        <v>2</v>
      </c>
      <c r="S17" s="32" t="s">
        <v>2</v>
      </c>
      <c r="T17" s="29">
        <f t="shared" si="1"/>
        <v>9.7409000000000017</v>
      </c>
      <c r="U17" s="29">
        <f t="shared" si="2"/>
        <v>95.000900000000001</v>
      </c>
      <c r="V17" s="4" t="s">
        <v>3</v>
      </c>
      <c r="X17" s="3">
        <f t="shared" si="3"/>
        <v>9.74</v>
      </c>
    </row>
    <row r="18" spans="1:24" hidden="1" x14ac:dyDescent="0.25">
      <c r="A18" s="7" t="s">
        <v>23</v>
      </c>
      <c r="C18" s="4" t="s">
        <v>0</v>
      </c>
      <c r="D18" s="4" t="s">
        <v>0</v>
      </c>
      <c r="E18" s="4" t="s">
        <v>30</v>
      </c>
      <c r="F18" s="4" t="s">
        <v>31</v>
      </c>
      <c r="G18" s="8" t="str">
        <f t="shared" si="0"/>
        <v>03/03/2021</v>
      </c>
      <c r="H18" s="4" t="s">
        <v>1</v>
      </c>
      <c r="I18" s="4" t="s">
        <v>0</v>
      </c>
      <c r="J18" s="7" t="s">
        <v>106</v>
      </c>
      <c r="K18" s="7" t="s">
        <v>28</v>
      </c>
      <c r="L18" s="9" t="str">
        <f>+VLOOKUP(K18,'[1]BASE DE PROVEEDORES'!$A:$B,2,0)</f>
        <v xml:space="preserve">ACTIVIDADES PETROLERAS DE EL SALVADOR S.A DE C.V </v>
      </c>
      <c r="M18" s="10">
        <v>3.68</v>
      </c>
      <c r="N18" s="7" t="s">
        <v>2</v>
      </c>
      <c r="O18" s="7" t="s">
        <v>2</v>
      </c>
      <c r="P18" s="10">
        <v>26.7</v>
      </c>
      <c r="Q18" s="29" t="s">
        <v>2</v>
      </c>
      <c r="R18" s="32" t="s">
        <v>2</v>
      </c>
      <c r="S18" s="32" t="s">
        <v>2</v>
      </c>
      <c r="T18" s="29">
        <f t="shared" si="1"/>
        <v>3.4710000000000001</v>
      </c>
      <c r="U18" s="29">
        <f t="shared" si="2"/>
        <v>33.850999999999999</v>
      </c>
      <c r="V18" s="4" t="s">
        <v>3</v>
      </c>
      <c r="X18" s="3">
        <f t="shared" si="3"/>
        <v>3.47</v>
      </c>
    </row>
    <row r="19" spans="1:24" hidden="1" x14ac:dyDescent="0.25">
      <c r="A19" s="7" t="s">
        <v>23</v>
      </c>
      <c r="C19" s="4" t="s">
        <v>0</v>
      </c>
      <c r="D19" s="4" t="s">
        <v>0</v>
      </c>
      <c r="E19" s="4" t="s">
        <v>30</v>
      </c>
      <c r="F19" s="4" t="s">
        <v>31</v>
      </c>
      <c r="G19" s="8" t="str">
        <f t="shared" si="0"/>
        <v>03/03/2021</v>
      </c>
      <c r="H19" s="4" t="s">
        <v>1</v>
      </c>
      <c r="I19" s="4" t="s">
        <v>0</v>
      </c>
      <c r="J19" s="7" t="s">
        <v>131</v>
      </c>
      <c r="K19" s="7" t="s">
        <v>132</v>
      </c>
      <c r="L19" s="9" t="str">
        <f>+VLOOKUP(K19,'[1]BASE DE PROVEEDORES'!$A:$B,2,0)</f>
        <v>ALEXANDER ANTONIO CORNEJO</v>
      </c>
      <c r="M19" s="10">
        <v>0</v>
      </c>
      <c r="N19" s="7" t="s">
        <v>2</v>
      </c>
      <c r="O19" s="7" t="s">
        <v>2</v>
      </c>
      <c r="P19" s="10">
        <v>172.57</v>
      </c>
      <c r="Q19" s="29" t="s">
        <v>2</v>
      </c>
      <c r="R19" s="32" t="s">
        <v>2</v>
      </c>
      <c r="S19" s="32" t="s">
        <v>2</v>
      </c>
      <c r="T19" s="29">
        <f t="shared" si="1"/>
        <v>22.434100000000001</v>
      </c>
      <c r="U19" s="29">
        <f t="shared" si="2"/>
        <v>195.00409999999999</v>
      </c>
      <c r="V19" s="4" t="s">
        <v>3</v>
      </c>
      <c r="X19" s="3">
        <f t="shared" si="3"/>
        <v>22.43</v>
      </c>
    </row>
    <row r="20" spans="1:24" hidden="1" x14ac:dyDescent="0.25">
      <c r="A20" s="7" t="s">
        <v>23</v>
      </c>
      <c r="C20" s="4" t="s">
        <v>0</v>
      </c>
      <c r="D20" s="4" t="s">
        <v>0</v>
      </c>
      <c r="E20" s="4" t="s">
        <v>30</v>
      </c>
      <c r="F20" s="4" t="s">
        <v>31</v>
      </c>
      <c r="G20" s="8" t="str">
        <f t="shared" si="0"/>
        <v>03/03/2021</v>
      </c>
      <c r="H20" s="4" t="s">
        <v>1</v>
      </c>
      <c r="I20" s="4" t="s">
        <v>0</v>
      </c>
      <c r="J20" s="7" t="s">
        <v>144</v>
      </c>
      <c r="K20" s="7" t="s">
        <v>145</v>
      </c>
      <c r="L20" s="9" t="str">
        <f>+VLOOKUP(K20,'[1]BASE DE PROVEEDORES'!$A:$B,2,0)</f>
        <v>GRUPO ROMEN S.A DE C.V.</v>
      </c>
      <c r="M20" s="10">
        <v>2.44</v>
      </c>
      <c r="N20" s="7" t="s">
        <v>2</v>
      </c>
      <c r="O20" s="7" t="s">
        <v>2</v>
      </c>
      <c r="P20" s="10">
        <v>23.5</v>
      </c>
      <c r="Q20" s="29" t="s">
        <v>2</v>
      </c>
      <c r="R20" s="32" t="s">
        <v>2</v>
      </c>
      <c r="S20" s="32" t="s">
        <v>2</v>
      </c>
      <c r="T20" s="29">
        <f t="shared" si="1"/>
        <v>3.0550000000000002</v>
      </c>
      <c r="U20" s="29">
        <f t="shared" si="2"/>
        <v>28.995000000000001</v>
      </c>
      <c r="V20" s="4" t="s">
        <v>3</v>
      </c>
      <c r="X20" s="3">
        <f t="shared" si="3"/>
        <v>3.06</v>
      </c>
    </row>
    <row r="21" spans="1:24" hidden="1" x14ac:dyDescent="0.25">
      <c r="A21" s="7" t="s">
        <v>23</v>
      </c>
      <c r="C21" s="4" t="s">
        <v>58</v>
      </c>
      <c r="D21" s="4" t="s">
        <v>0</v>
      </c>
      <c r="E21" s="4" t="s">
        <v>30</v>
      </c>
      <c r="F21" s="4" t="s">
        <v>31</v>
      </c>
      <c r="G21" s="8" t="str">
        <f t="shared" si="0"/>
        <v>04/03/2021</v>
      </c>
      <c r="H21" s="4" t="s">
        <v>1</v>
      </c>
      <c r="I21" s="4" t="s">
        <v>0</v>
      </c>
      <c r="J21" s="7" t="s">
        <v>59</v>
      </c>
      <c r="K21" s="7" t="s">
        <v>45</v>
      </c>
      <c r="L21" s="9" t="str">
        <f>+VLOOKUP(K21,'[1]BASE DE PROVEEDORES'!$A:$B,2,0)</f>
        <v>JOSE RICARDO ANTONIO MOLINA</v>
      </c>
      <c r="M21" s="10">
        <v>10.11</v>
      </c>
      <c r="N21" s="7" t="s">
        <v>2</v>
      </c>
      <c r="O21" s="7" t="s">
        <v>2</v>
      </c>
      <c r="P21" s="10">
        <v>73.3</v>
      </c>
      <c r="Q21" s="29" t="s">
        <v>2</v>
      </c>
      <c r="R21" s="32" t="s">
        <v>2</v>
      </c>
      <c r="S21" s="32" t="s">
        <v>2</v>
      </c>
      <c r="T21" s="29">
        <f t="shared" si="1"/>
        <v>9.5289999999999999</v>
      </c>
      <c r="U21" s="29">
        <f t="shared" si="2"/>
        <v>92.938999999999993</v>
      </c>
      <c r="V21" s="4" t="s">
        <v>3</v>
      </c>
      <c r="X21" s="3">
        <f t="shared" si="3"/>
        <v>9.5299999999999994</v>
      </c>
    </row>
    <row r="22" spans="1:24" hidden="1" x14ac:dyDescent="0.25">
      <c r="A22" s="7" t="s">
        <v>23</v>
      </c>
      <c r="C22" s="4" t="s">
        <v>58</v>
      </c>
      <c r="D22" s="4" t="s">
        <v>0</v>
      </c>
      <c r="E22" s="4" t="s">
        <v>30</v>
      </c>
      <c r="F22" s="4" t="s">
        <v>31</v>
      </c>
      <c r="G22" s="8" t="str">
        <f t="shared" si="0"/>
        <v>04/03/2021</v>
      </c>
      <c r="H22" s="4" t="s">
        <v>1</v>
      </c>
      <c r="I22" s="4" t="s">
        <v>0</v>
      </c>
      <c r="J22" s="7" t="s">
        <v>105</v>
      </c>
      <c r="K22" s="7" t="s">
        <v>28</v>
      </c>
      <c r="L22" s="9" t="str">
        <f>+VLOOKUP(K22,'[1]BASE DE PROVEEDORES'!$A:$B,2,0)</f>
        <v xml:space="preserve">ACTIVIDADES PETROLERAS DE EL SALVADOR S.A DE C.V </v>
      </c>
      <c r="M22" s="10">
        <v>5.32</v>
      </c>
      <c r="N22" s="7" t="s">
        <v>2</v>
      </c>
      <c r="O22" s="7" t="s">
        <v>2</v>
      </c>
      <c r="P22" s="10">
        <v>38.6</v>
      </c>
      <c r="Q22" s="29" t="s">
        <v>2</v>
      </c>
      <c r="R22" s="32" t="s">
        <v>2</v>
      </c>
      <c r="S22" s="32" t="s">
        <v>2</v>
      </c>
      <c r="T22" s="29">
        <f t="shared" si="1"/>
        <v>5.0180000000000007</v>
      </c>
      <c r="U22" s="29">
        <f t="shared" si="2"/>
        <v>48.938000000000002</v>
      </c>
      <c r="V22" s="4" t="s">
        <v>3</v>
      </c>
      <c r="X22" s="3">
        <f t="shared" si="3"/>
        <v>5.0199999999999996</v>
      </c>
    </row>
    <row r="23" spans="1:24" hidden="1" x14ac:dyDescent="0.25">
      <c r="A23" s="7" t="s">
        <v>23</v>
      </c>
      <c r="C23" s="4" t="s">
        <v>58</v>
      </c>
      <c r="D23" s="4" t="s">
        <v>0</v>
      </c>
      <c r="E23" s="4" t="s">
        <v>30</v>
      </c>
      <c r="F23" s="4" t="s">
        <v>31</v>
      </c>
      <c r="G23" s="8" t="str">
        <f t="shared" si="0"/>
        <v>04/03/2021</v>
      </c>
      <c r="H23" s="4" t="s">
        <v>1</v>
      </c>
      <c r="I23" s="4" t="s">
        <v>0</v>
      </c>
      <c r="J23" s="7" t="s">
        <v>129</v>
      </c>
      <c r="K23" s="7" t="s">
        <v>130</v>
      </c>
      <c r="L23" s="9" t="str">
        <f>+VLOOKUP(K23,'[1]BASE DE PROVEEDORES'!$A:$B,2,0)</f>
        <v xml:space="preserve">BANCO CUSCATLAN S.A </v>
      </c>
      <c r="M23" s="10">
        <v>0</v>
      </c>
      <c r="N23" s="7" t="s">
        <v>2</v>
      </c>
      <c r="O23" s="7" t="s">
        <v>2</v>
      </c>
      <c r="P23" s="10">
        <v>3</v>
      </c>
      <c r="Q23" s="29" t="s">
        <v>2</v>
      </c>
      <c r="R23" s="32" t="s">
        <v>2</v>
      </c>
      <c r="S23" s="32" t="s">
        <v>2</v>
      </c>
      <c r="T23" s="29">
        <f t="shared" si="1"/>
        <v>0.39</v>
      </c>
      <c r="U23" s="29">
        <f t="shared" si="2"/>
        <v>3.39</v>
      </c>
      <c r="V23" s="4" t="s">
        <v>3</v>
      </c>
      <c r="X23" s="3">
        <f t="shared" si="3"/>
        <v>0.39</v>
      </c>
    </row>
    <row r="24" spans="1:24" hidden="1" x14ac:dyDescent="0.25">
      <c r="A24" s="7" t="s">
        <v>23</v>
      </c>
      <c r="C24" s="4" t="s">
        <v>58</v>
      </c>
      <c r="D24" s="4" t="s">
        <v>0</v>
      </c>
      <c r="E24" s="4" t="s">
        <v>30</v>
      </c>
      <c r="F24" s="4" t="s">
        <v>31</v>
      </c>
      <c r="G24" s="8" t="str">
        <f t="shared" si="0"/>
        <v>04/03/2021</v>
      </c>
      <c r="H24" s="4" t="s">
        <v>1</v>
      </c>
      <c r="I24" s="4" t="s">
        <v>0</v>
      </c>
      <c r="J24" s="7" t="s">
        <v>183</v>
      </c>
      <c r="K24" s="7" t="s">
        <v>172</v>
      </c>
      <c r="L24" s="9" t="str">
        <f>+VLOOKUP(K24,'[1]BASE DE PROVEEDORES'!$A:$B,2,0)</f>
        <v>MANEJO INTEGRAL DE DESECHOS SOLIDOS SEM DE C.V.</v>
      </c>
      <c r="M24" s="10">
        <v>0</v>
      </c>
      <c r="N24" s="7" t="s">
        <v>2</v>
      </c>
      <c r="O24" s="7" t="s">
        <v>2</v>
      </c>
      <c r="P24" s="10">
        <v>44.92</v>
      </c>
      <c r="Q24" s="29" t="s">
        <v>2</v>
      </c>
      <c r="R24" s="32" t="s">
        <v>2</v>
      </c>
      <c r="S24" s="32" t="s">
        <v>2</v>
      </c>
      <c r="T24" s="29">
        <f t="shared" si="1"/>
        <v>5.8396000000000008</v>
      </c>
      <c r="U24" s="29">
        <f t="shared" si="2"/>
        <v>50.759600000000006</v>
      </c>
      <c r="V24" s="4" t="s">
        <v>3</v>
      </c>
      <c r="X24" s="3">
        <f t="shared" si="3"/>
        <v>5.84</v>
      </c>
    </row>
    <row r="25" spans="1:24" hidden="1" x14ac:dyDescent="0.25">
      <c r="A25" s="7" t="s">
        <v>23</v>
      </c>
      <c r="C25" s="4" t="s">
        <v>56</v>
      </c>
      <c r="D25" s="4" t="s">
        <v>0</v>
      </c>
      <c r="E25" s="4" t="s">
        <v>30</v>
      </c>
      <c r="F25" s="4" t="s">
        <v>31</v>
      </c>
      <c r="G25" s="8" t="str">
        <f t="shared" si="0"/>
        <v>05/03/2021</v>
      </c>
      <c r="H25" s="4" t="s">
        <v>1</v>
      </c>
      <c r="I25" s="4" t="s">
        <v>0</v>
      </c>
      <c r="J25" s="7" t="s">
        <v>57</v>
      </c>
      <c r="K25" s="7" t="s">
        <v>45</v>
      </c>
      <c r="L25" s="9" t="str">
        <f>+VLOOKUP(K25,'[1]BASE DE PROVEEDORES'!$A:$B,2,0)</f>
        <v>JOSE RICARDO ANTONIO MOLINA</v>
      </c>
      <c r="M25" s="10">
        <v>11.64</v>
      </c>
      <c r="N25" s="7" t="s">
        <v>2</v>
      </c>
      <c r="O25" s="7" t="s">
        <v>2</v>
      </c>
      <c r="P25" s="10">
        <v>84.39</v>
      </c>
      <c r="Q25" s="29" t="s">
        <v>2</v>
      </c>
      <c r="R25" s="32" t="s">
        <v>2</v>
      </c>
      <c r="S25" s="32" t="s">
        <v>2</v>
      </c>
      <c r="T25" s="29">
        <f t="shared" si="1"/>
        <v>10.970700000000001</v>
      </c>
      <c r="U25" s="29">
        <f t="shared" si="2"/>
        <v>107.00069999999999</v>
      </c>
      <c r="V25" s="4" t="s">
        <v>3</v>
      </c>
      <c r="X25" s="3">
        <f t="shared" si="3"/>
        <v>10.97</v>
      </c>
    </row>
    <row r="26" spans="1:24" hidden="1" x14ac:dyDescent="0.25">
      <c r="A26" s="7" t="s">
        <v>23</v>
      </c>
      <c r="C26" s="4" t="s">
        <v>56</v>
      </c>
      <c r="D26" s="4" t="s">
        <v>0</v>
      </c>
      <c r="E26" s="4" t="s">
        <v>30</v>
      </c>
      <c r="F26" s="4" t="s">
        <v>31</v>
      </c>
      <c r="G26" s="8" t="str">
        <f t="shared" si="0"/>
        <v>05/03/2021</v>
      </c>
      <c r="H26" s="4" t="s">
        <v>1</v>
      </c>
      <c r="I26" s="4" t="s">
        <v>0</v>
      </c>
      <c r="J26" s="7" t="s">
        <v>104</v>
      </c>
      <c r="K26" s="7" t="s">
        <v>28</v>
      </c>
      <c r="L26" s="9" t="str">
        <f>+VLOOKUP(K26,'[1]BASE DE PROVEEDORES'!$A:$B,2,0)</f>
        <v xml:space="preserve">ACTIVIDADES PETROLERAS DE EL SALVADOR S.A DE C.V </v>
      </c>
      <c r="M26" s="10">
        <v>2.02</v>
      </c>
      <c r="N26" s="7" t="s">
        <v>2</v>
      </c>
      <c r="O26" s="7" t="s">
        <v>2</v>
      </c>
      <c r="P26" s="10">
        <v>14.66</v>
      </c>
      <c r="Q26" s="29" t="s">
        <v>2</v>
      </c>
      <c r="R26" s="32" t="s">
        <v>2</v>
      </c>
      <c r="S26" s="32" t="s">
        <v>2</v>
      </c>
      <c r="T26" s="29">
        <f t="shared" si="1"/>
        <v>1.9058000000000002</v>
      </c>
      <c r="U26" s="29">
        <f t="shared" si="2"/>
        <v>18.585799999999999</v>
      </c>
      <c r="V26" s="4" t="s">
        <v>3</v>
      </c>
      <c r="X26" s="3">
        <f t="shared" si="3"/>
        <v>1.91</v>
      </c>
    </row>
    <row r="27" spans="1:24" hidden="1" x14ac:dyDescent="0.25">
      <c r="A27" s="7" t="s">
        <v>23</v>
      </c>
      <c r="C27" s="4" t="s">
        <v>56</v>
      </c>
      <c r="D27" s="4" t="s">
        <v>0</v>
      </c>
      <c r="E27" s="4" t="s">
        <v>30</v>
      </c>
      <c r="F27" s="4" t="s">
        <v>31</v>
      </c>
      <c r="G27" s="8" t="str">
        <f t="shared" si="0"/>
        <v>05/03/2021</v>
      </c>
      <c r="H27" s="4" t="s">
        <v>1</v>
      </c>
      <c r="I27" s="4" t="s">
        <v>0</v>
      </c>
      <c r="J27" s="7" t="s">
        <v>173</v>
      </c>
      <c r="K27" s="7" t="s">
        <v>172</v>
      </c>
      <c r="L27" s="9" t="str">
        <f>+VLOOKUP(K27,'[1]BASE DE PROVEEDORES'!$A:$B,2,0)</f>
        <v>MANEJO INTEGRAL DE DESECHOS SOLIDOS SEM DE C.V.</v>
      </c>
      <c r="M27" s="10">
        <v>0</v>
      </c>
      <c r="N27" s="7" t="s">
        <v>2</v>
      </c>
      <c r="O27" s="7" t="s">
        <v>2</v>
      </c>
      <c r="P27" s="10">
        <v>42.4</v>
      </c>
      <c r="Q27" s="29" t="s">
        <v>2</v>
      </c>
      <c r="R27" s="32" t="s">
        <v>2</v>
      </c>
      <c r="S27" s="32" t="s">
        <v>2</v>
      </c>
      <c r="T27" s="29">
        <f t="shared" si="1"/>
        <v>5.5119999999999996</v>
      </c>
      <c r="U27" s="29">
        <f t="shared" si="2"/>
        <v>47.911999999999999</v>
      </c>
      <c r="V27" s="4" t="s">
        <v>3</v>
      </c>
      <c r="X27" s="3">
        <f t="shared" si="3"/>
        <v>5.51</v>
      </c>
    </row>
    <row r="28" spans="1:24" hidden="1" x14ac:dyDescent="0.25">
      <c r="A28" s="7" t="s">
        <v>23</v>
      </c>
      <c r="C28" s="4" t="s">
        <v>56</v>
      </c>
      <c r="D28" s="4" t="s">
        <v>0</v>
      </c>
      <c r="E28" s="4" t="s">
        <v>30</v>
      </c>
      <c r="F28" s="4" t="s">
        <v>31</v>
      </c>
      <c r="G28" s="8" t="str">
        <f t="shared" si="0"/>
        <v>05/03/2021</v>
      </c>
      <c r="H28" s="4" t="s">
        <v>1</v>
      </c>
      <c r="I28" s="4" t="s">
        <v>0</v>
      </c>
      <c r="J28" s="7" t="s">
        <v>199</v>
      </c>
      <c r="K28" s="7" t="s">
        <v>172</v>
      </c>
      <c r="L28" s="9" t="str">
        <f>+VLOOKUP(K28,'[1]BASE DE PROVEEDORES'!$A:$B,2,0)</f>
        <v>MANEJO INTEGRAL DE DESECHOS SOLIDOS SEM DE C.V.</v>
      </c>
      <c r="M28" s="10">
        <v>0</v>
      </c>
      <c r="N28" s="7" t="s">
        <v>2</v>
      </c>
      <c r="O28" s="7" t="s">
        <v>2</v>
      </c>
      <c r="P28" s="10">
        <v>56.26</v>
      </c>
      <c r="Q28" s="29" t="s">
        <v>2</v>
      </c>
      <c r="R28" s="32" t="s">
        <v>2</v>
      </c>
      <c r="S28" s="32" t="s">
        <v>2</v>
      </c>
      <c r="T28" s="29">
        <f t="shared" si="1"/>
        <v>7.3137999999999996</v>
      </c>
      <c r="U28" s="29">
        <f t="shared" si="2"/>
        <v>63.573799999999999</v>
      </c>
      <c r="V28" s="4" t="s">
        <v>3</v>
      </c>
      <c r="X28" s="3">
        <f t="shared" si="3"/>
        <v>7.31</v>
      </c>
    </row>
    <row r="29" spans="1:24" hidden="1" x14ac:dyDescent="0.25">
      <c r="A29" s="7" t="s">
        <v>23</v>
      </c>
      <c r="C29" s="4" t="s">
        <v>56</v>
      </c>
      <c r="D29" s="4" t="s">
        <v>0</v>
      </c>
      <c r="E29" s="4" t="s">
        <v>30</v>
      </c>
      <c r="F29" s="4" t="s">
        <v>31</v>
      </c>
      <c r="G29" s="8" t="str">
        <f t="shared" si="0"/>
        <v>05/03/2021</v>
      </c>
      <c r="H29" s="4" t="s">
        <v>1</v>
      </c>
      <c r="I29" s="4" t="s">
        <v>0</v>
      </c>
      <c r="J29" s="7" t="s">
        <v>205</v>
      </c>
      <c r="K29" s="7" t="s">
        <v>172</v>
      </c>
      <c r="L29" s="9" t="str">
        <f>+VLOOKUP(K29,'[1]BASE DE PROVEEDORES'!$A:$B,2,0)</f>
        <v>MANEJO INTEGRAL DE DESECHOS SOLIDOS SEM DE C.V.</v>
      </c>
      <c r="M29" s="10">
        <v>0</v>
      </c>
      <c r="N29" s="7" t="s">
        <v>2</v>
      </c>
      <c r="O29" s="7" t="s">
        <v>2</v>
      </c>
      <c r="P29" s="10">
        <v>28.08</v>
      </c>
      <c r="Q29" s="29" t="s">
        <v>2</v>
      </c>
      <c r="R29" s="32" t="s">
        <v>2</v>
      </c>
      <c r="S29" s="32" t="s">
        <v>2</v>
      </c>
      <c r="T29" s="29">
        <f t="shared" si="1"/>
        <v>3.6503999999999999</v>
      </c>
      <c r="U29" s="29">
        <f t="shared" si="2"/>
        <v>31.730399999999999</v>
      </c>
      <c r="V29" s="4" t="s">
        <v>3</v>
      </c>
      <c r="X29" s="3">
        <f t="shared" si="3"/>
        <v>3.65</v>
      </c>
    </row>
    <row r="30" spans="1:24" hidden="1" x14ac:dyDescent="0.25">
      <c r="A30" s="7" t="s">
        <v>23</v>
      </c>
      <c r="C30" s="4" t="s">
        <v>33</v>
      </c>
      <c r="D30" s="4" t="s">
        <v>0</v>
      </c>
      <c r="E30" s="4" t="s">
        <v>30</v>
      </c>
      <c r="F30" s="4" t="s">
        <v>31</v>
      </c>
      <c r="G30" s="8" t="str">
        <f t="shared" si="0"/>
        <v>06/03/2021</v>
      </c>
      <c r="H30" s="4" t="s">
        <v>1</v>
      </c>
      <c r="I30" s="4" t="s">
        <v>0</v>
      </c>
      <c r="J30" s="7" t="s">
        <v>55</v>
      </c>
      <c r="K30" s="7" t="s">
        <v>45</v>
      </c>
      <c r="L30" s="9" t="str">
        <f>+VLOOKUP(K30,'[1]BASE DE PROVEEDORES'!$A:$B,2,0)</f>
        <v>JOSE RICARDO ANTONIO MOLINA</v>
      </c>
      <c r="M30" s="10">
        <v>7.14</v>
      </c>
      <c r="N30" s="7" t="s">
        <v>2</v>
      </c>
      <c r="O30" s="7" t="s">
        <v>2</v>
      </c>
      <c r="P30" s="10">
        <v>51.77</v>
      </c>
      <c r="Q30" s="29" t="s">
        <v>2</v>
      </c>
      <c r="R30" s="32" t="s">
        <v>2</v>
      </c>
      <c r="S30" s="32" t="s">
        <v>2</v>
      </c>
      <c r="T30" s="29">
        <f t="shared" si="1"/>
        <v>6.7301000000000002</v>
      </c>
      <c r="U30" s="29">
        <f t="shared" si="2"/>
        <v>65.640100000000004</v>
      </c>
      <c r="V30" s="4" t="s">
        <v>3</v>
      </c>
      <c r="X30" s="3">
        <f t="shared" si="3"/>
        <v>6.73</v>
      </c>
    </row>
    <row r="31" spans="1:24" hidden="1" x14ac:dyDescent="0.25">
      <c r="A31" s="7" t="s">
        <v>23</v>
      </c>
      <c r="C31" s="4" t="s">
        <v>33</v>
      </c>
      <c r="D31" s="4" t="s">
        <v>0</v>
      </c>
      <c r="E31" s="4" t="s">
        <v>30</v>
      </c>
      <c r="F31" s="4" t="s">
        <v>31</v>
      </c>
      <c r="G31" s="8" t="str">
        <f t="shared" si="0"/>
        <v>06/03/2021</v>
      </c>
      <c r="H31" s="4" t="s">
        <v>1</v>
      </c>
      <c r="I31" s="4" t="s">
        <v>0</v>
      </c>
      <c r="J31" s="7" t="s">
        <v>103</v>
      </c>
      <c r="K31" s="7" t="s">
        <v>28</v>
      </c>
      <c r="L31" s="9" t="str">
        <f>+VLOOKUP(K31,'[1]BASE DE PROVEEDORES'!$A:$B,2,0)</f>
        <v xml:space="preserve">ACTIVIDADES PETROLERAS DE EL SALVADOR S.A DE C.V </v>
      </c>
      <c r="M31" s="10">
        <v>5.54</v>
      </c>
      <c r="N31" s="7" t="s">
        <v>2</v>
      </c>
      <c r="O31" s="7" t="s">
        <v>2</v>
      </c>
      <c r="P31" s="10">
        <v>40.18</v>
      </c>
      <c r="Q31" s="29" t="s">
        <v>2</v>
      </c>
      <c r="R31" s="32" t="s">
        <v>2</v>
      </c>
      <c r="S31" s="32" t="s">
        <v>2</v>
      </c>
      <c r="T31" s="29">
        <f t="shared" si="1"/>
        <v>5.2233999999999998</v>
      </c>
      <c r="U31" s="29">
        <f t="shared" si="2"/>
        <v>50.943399999999997</v>
      </c>
      <c r="V31" s="4" t="s">
        <v>3</v>
      </c>
      <c r="X31" s="3">
        <f t="shared" si="3"/>
        <v>5.22</v>
      </c>
    </row>
    <row r="32" spans="1:24" hidden="1" x14ac:dyDescent="0.25">
      <c r="A32" s="7" t="s">
        <v>23</v>
      </c>
      <c r="C32" s="4" t="s">
        <v>33</v>
      </c>
      <c r="D32" s="4" t="s">
        <v>0</v>
      </c>
      <c r="E32" s="4" t="s">
        <v>30</v>
      </c>
      <c r="F32" s="4" t="s">
        <v>31</v>
      </c>
      <c r="G32" s="8" t="str">
        <f t="shared" si="0"/>
        <v>06/03/2021</v>
      </c>
      <c r="H32" s="4" t="s">
        <v>1</v>
      </c>
      <c r="I32" s="4" t="s">
        <v>0</v>
      </c>
      <c r="J32" s="7" t="s">
        <v>163</v>
      </c>
      <c r="K32" s="7" t="s">
        <v>126</v>
      </c>
      <c r="L32" s="9" t="str">
        <f>+VLOOKUP(K32,'[1]BASE DE PROVEEDORES'!$A:$B,2,0)</f>
        <v>REPUESTOS IZALCO S.A DE C.V.</v>
      </c>
      <c r="M32" s="10">
        <v>0</v>
      </c>
      <c r="N32" s="7" t="s">
        <v>2</v>
      </c>
      <c r="O32" s="7" t="s">
        <v>2</v>
      </c>
      <c r="P32" s="10">
        <v>50.4</v>
      </c>
      <c r="Q32" s="29" t="s">
        <v>2</v>
      </c>
      <c r="R32" s="32" t="s">
        <v>2</v>
      </c>
      <c r="S32" s="32" t="s">
        <v>2</v>
      </c>
      <c r="T32" s="29">
        <f t="shared" si="1"/>
        <v>6.5519999999999996</v>
      </c>
      <c r="U32" s="29">
        <f t="shared" si="2"/>
        <v>56.951999999999998</v>
      </c>
      <c r="V32" s="4" t="s">
        <v>3</v>
      </c>
      <c r="X32" s="3">
        <f t="shared" si="3"/>
        <v>6.55</v>
      </c>
    </row>
    <row r="33" spans="1:24" hidden="1" x14ac:dyDescent="0.25">
      <c r="A33" s="7" t="s">
        <v>23</v>
      </c>
      <c r="C33" s="4" t="s">
        <v>33</v>
      </c>
      <c r="D33" s="4" t="s">
        <v>0</v>
      </c>
      <c r="E33" s="4" t="s">
        <v>30</v>
      </c>
      <c r="F33" s="4" t="s">
        <v>31</v>
      </c>
      <c r="G33" s="8" t="str">
        <f t="shared" si="0"/>
        <v>06/03/2021</v>
      </c>
      <c r="H33" s="4" t="s">
        <v>1</v>
      </c>
      <c r="I33" s="4" t="s">
        <v>0</v>
      </c>
      <c r="J33" s="7" t="s">
        <v>184</v>
      </c>
      <c r="K33" s="7" t="s">
        <v>172</v>
      </c>
      <c r="L33" s="9" t="str">
        <f>+VLOOKUP(K33,'[1]BASE DE PROVEEDORES'!$A:$B,2,0)</f>
        <v>MANEJO INTEGRAL DE DESECHOS SOLIDOS SEM DE C.V.</v>
      </c>
      <c r="M33" s="10">
        <v>0</v>
      </c>
      <c r="N33" s="7" t="s">
        <v>2</v>
      </c>
      <c r="O33" s="7" t="s">
        <v>2</v>
      </c>
      <c r="P33" s="10">
        <v>40.71</v>
      </c>
      <c r="Q33" s="29" t="s">
        <v>2</v>
      </c>
      <c r="R33" s="32" t="s">
        <v>2</v>
      </c>
      <c r="S33" s="32" t="s">
        <v>2</v>
      </c>
      <c r="T33" s="29">
        <f t="shared" si="1"/>
        <v>5.2923</v>
      </c>
      <c r="U33" s="29">
        <f t="shared" si="2"/>
        <v>46.002299999999998</v>
      </c>
      <c r="V33" s="4" t="s">
        <v>3</v>
      </c>
      <c r="X33" s="3">
        <f t="shared" si="3"/>
        <v>5.29</v>
      </c>
    </row>
    <row r="34" spans="1:24" hidden="1" x14ac:dyDescent="0.25">
      <c r="A34" s="7" t="s">
        <v>23</v>
      </c>
      <c r="C34" s="4" t="s">
        <v>38</v>
      </c>
      <c r="D34" s="4" t="s">
        <v>0</v>
      </c>
      <c r="E34" s="4" t="s">
        <v>30</v>
      </c>
      <c r="F34" s="4" t="s">
        <v>31</v>
      </c>
      <c r="G34" s="8" t="str">
        <f t="shared" ref="G34:G65" si="4">+C34&amp;F34&amp;D34&amp;F34&amp;E34</f>
        <v>08/03/2021</v>
      </c>
      <c r="H34" s="4" t="s">
        <v>1</v>
      </c>
      <c r="I34" s="4" t="s">
        <v>0</v>
      </c>
      <c r="J34" s="7" t="s">
        <v>54</v>
      </c>
      <c r="K34" s="7" t="s">
        <v>45</v>
      </c>
      <c r="L34" s="9" t="str">
        <f>+VLOOKUP(K34,'[1]BASE DE PROVEEDORES'!$A:$B,2,0)</f>
        <v>JOSE RICARDO ANTONIO MOLINA</v>
      </c>
      <c r="M34" s="10">
        <v>2.0099999999999998</v>
      </c>
      <c r="N34" s="7" t="s">
        <v>2</v>
      </c>
      <c r="O34" s="7" t="s">
        <v>2</v>
      </c>
      <c r="P34" s="10">
        <v>14.65</v>
      </c>
      <c r="Q34" s="29" t="s">
        <v>2</v>
      </c>
      <c r="R34" s="32" t="s">
        <v>2</v>
      </c>
      <c r="S34" s="32" t="s">
        <v>2</v>
      </c>
      <c r="T34" s="29">
        <f t="shared" ref="T34:T65" si="5">+P34*0.13</f>
        <v>1.9045000000000001</v>
      </c>
      <c r="U34" s="29">
        <f t="shared" ref="U34:U65" si="6">+M34+P34+T34</f>
        <v>18.564499999999999</v>
      </c>
      <c r="V34" s="4" t="s">
        <v>3</v>
      </c>
      <c r="X34" s="3">
        <f t="shared" ref="X34:X65" si="7">+ROUND(T34,2)</f>
        <v>1.9</v>
      </c>
    </row>
    <row r="35" spans="1:24" hidden="1" x14ac:dyDescent="0.25">
      <c r="A35" s="7" t="s">
        <v>23</v>
      </c>
      <c r="C35" s="4" t="s">
        <v>38</v>
      </c>
      <c r="D35" s="4" t="s">
        <v>0</v>
      </c>
      <c r="E35" s="4" t="s">
        <v>30</v>
      </c>
      <c r="F35" s="4" t="s">
        <v>31</v>
      </c>
      <c r="G35" s="8" t="str">
        <f t="shared" si="4"/>
        <v>08/03/2021</v>
      </c>
      <c r="H35" s="4" t="s">
        <v>1</v>
      </c>
      <c r="I35" s="4" t="s">
        <v>0</v>
      </c>
      <c r="J35" s="7" t="s">
        <v>99</v>
      </c>
      <c r="K35" s="7" t="s">
        <v>28</v>
      </c>
      <c r="L35" s="9" t="str">
        <f>+VLOOKUP(K35,'[1]BASE DE PROVEEDORES'!$A:$B,2,0)</f>
        <v xml:space="preserve">ACTIVIDADES PETROLERAS DE EL SALVADOR S.A DE C.V </v>
      </c>
      <c r="M35" s="10">
        <v>2.77</v>
      </c>
      <c r="N35" s="7" t="s">
        <v>2</v>
      </c>
      <c r="O35" s="7" t="s">
        <v>2</v>
      </c>
      <c r="P35" s="10">
        <v>20.11</v>
      </c>
      <c r="Q35" s="29" t="s">
        <v>2</v>
      </c>
      <c r="R35" s="32" t="s">
        <v>2</v>
      </c>
      <c r="S35" s="32" t="s">
        <v>2</v>
      </c>
      <c r="T35" s="29">
        <f t="shared" si="5"/>
        <v>2.6143000000000001</v>
      </c>
      <c r="U35" s="29">
        <f t="shared" si="6"/>
        <v>25.494299999999999</v>
      </c>
      <c r="V35" s="4" t="s">
        <v>3</v>
      </c>
      <c r="X35" s="3">
        <f t="shared" si="7"/>
        <v>2.61</v>
      </c>
    </row>
    <row r="36" spans="1:24" hidden="1" x14ac:dyDescent="0.25">
      <c r="A36" s="7" t="s">
        <v>23</v>
      </c>
      <c r="C36" s="4" t="s">
        <v>38</v>
      </c>
      <c r="D36" s="4" t="s">
        <v>0</v>
      </c>
      <c r="E36" s="4" t="s">
        <v>30</v>
      </c>
      <c r="F36" s="4" t="s">
        <v>31</v>
      </c>
      <c r="G36" s="8" t="str">
        <f t="shared" si="4"/>
        <v>08/03/2021</v>
      </c>
      <c r="H36" s="4" t="s">
        <v>1</v>
      </c>
      <c r="I36" s="4" t="s">
        <v>0</v>
      </c>
      <c r="J36" s="7" t="s">
        <v>100</v>
      </c>
      <c r="K36" s="7" t="s">
        <v>28</v>
      </c>
      <c r="L36" s="9" t="str">
        <f>+VLOOKUP(K36,'[1]BASE DE PROVEEDORES'!$A:$B,2,0)</f>
        <v xml:space="preserve">ACTIVIDADES PETROLERAS DE EL SALVADOR S.A DE C.V </v>
      </c>
      <c r="M36" s="10">
        <v>3.33</v>
      </c>
      <c r="N36" s="7" t="s">
        <v>2</v>
      </c>
      <c r="O36" s="7" t="s">
        <v>2</v>
      </c>
      <c r="P36" s="10">
        <v>24.13</v>
      </c>
      <c r="Q36" s="29" t="s">
        <v>2</v>
      </c>
      <c r="R36" s="32" t="s">
        <v>2</v>
      </c>
      <c r="S36" s="32" t="s">
        <v>2</v>
      </c>
      <c r="T36" s="29">
        <f t="shared" si="5"/>
        <v>3.1368999999999998</v>
      </c>
      <c r="U36" s="29">
        <f t="shared" si="6"/>
        <v>30.596900000000002</v>
      </c>
      <c r="V36" s="4" t="s">
        <v>3</v>
      </c>
      <c r="X36" s="3">
        <f t="shared" si="7"/>
        <v>3.14</v>
      </c>
    </row>
    <row r="37" spans="1:24" hidden="1" x14ac:dyDescent="0.25">
      <c r="A37" s="7" t="s">
        <v>23</v>
      </c>
      <c r="C37" s="4" t="s">
        <v>38</v>
      </c>
      <c r="D37" s="4" t="s">
        <v>0</v>
      </c>
      <c r="E37" s="4" t="s">
        <v>30</v>
      </c>
      <c r="F37" s="4" t="s">
        <v>31</v>
      </c>
      <c r="G37" s="8" t="str">
        <f t="shared" si="4"/>
        <v>08/03/2021</v>
      </c>
      <c r="H37" s="4" t="s">
        <v>1</v>
      </c>
      <c r="I37" s="4" t="s">
        <v>0</v>
      </c>
      <c r="J37" s="7" t="s">
        <v>101</v>
      </c>
      <c r="K37" s="7" t="s">
        <v>28</v>
      </c>
      <c r="L37" s="9" t="str">
        <f>+VLOOKUP(K37,'[1]BASE DE PROVEEDORES'!$A:$B,2,0)</f>
        <v xml:space="preserve">ACTIVIDADES PETROLERAS DE EL SALVADOR S.A DE C.V </v>
      </c>
      <c r="M37" s="10">
        <v>10.48</v>
      </c>
      <c r="N37" s="7" t="s">
        <v>2</v>
      </c>
      <c r="O37" s="7" t="s">
        <v>2</v>
      </c>
      <c r="P37" s="10">
        <v>76</v>
      </c>
      <c r="Q37" s="29" t="s">
        <v>2</v>
      </c>
      <c r="R37" s="32" t="s">
        <v>2</v>
      </c>
      <c r="S37" s="32" t="s">
        <v>2</v>
      </c>
      <c r="T37" s="29">
        <f t="shared" si="5"/>
        <v>9.8800000000000008</v>
      </c>
      <c r="U37" s="29">
        <f t="shared" si="6"/>
        <v>96.36</v>
      </c>
      <c r="V37" s="4" t="s">
        <v>3</v>
      </c>
      <c r="X37" s="3">
        <f t="shared" si="7"/>
        <v>9.8800000000000008</v>
      </c>
    </row>
    <row r="38" spans="1:24" hidden="1" x14ac:dyDescent="0.25">
      <c r="A38" s="7" t="s">
        <v>23</v>
      </c>
      <c r="C38" s="4" t="s">
        <v>38</v>
      </c>
      <c r="D38" s="4" t="s">
        <v>0</v>
      </c>
      <c r="E38" s="4" t="s">
        <v>30</v>
      </c>
      <c r="F38" s="4" t="s">
        <v>31</v>
      </c>
      <c r="G38" s="8" t="str">
        <f t="shared" si="4"/>
        <v>08/03/2021</v>
      </c>
      <c r="H38" s="4" t="s">
        <v>1</v>
      </c>
      <c r="I38" s="4" t="s">
        <v>0</v>
      </c>
      <c r="J38" s="7" t="s">
        <v>102</v>
      </c>
      <c r="K38" s="7" t="s">
        <v>28</v>
      </c>
      <c r="L38" s="9" t="str">
        <f>+VLOOKUP(K38,'[1]BASE DE PROVEEDORES'!$A:$B,2,0)</f>
        <v xml:space="preserve">ACTIVIDADES PETROLERAS DE EL SALVADOR S.A DE C.V </v>
      </c>
      <c r="M38" s="10">
        <v>3.93</v>
      </c>
      <c r="N38" s="7" t="s">
        <v>2</v>
      </c>
      <c r="O38" s="7" t="s">
        <v>2</v>
      </c>
      <c r="P38" s="10">
        <v>28.52</v>
      </c>
      <c r="Q38" s="29" t="s">
        <v>2</v>
      </c>
      <c r="R38" s="32" t="s">
        <v>2</v>
      </c>
      <c r="S38" s="32" t="s">
        <v>2</v>
      </c>
      <c r="T38" s="29">
        <f t="shared" si="5"/>
        <v>3.7076000000000002</v>
      </c>
      <c r="U38" s="29">
        <f t="shared" si="6"/>
        <v>36.157600000000002</v>
      </c>
      <c r="V38" s="4" t="s">
        <v>3</v>
      </c>
      <c r="X38" s="3">
        <f t="shared" si="7"/>
        <v>3.71</v>
      </c>
    </row>
    <row r="39" spans="1:24" hidden="1" x14ac:dyDescent="0.25">
      <c r="A39" s="7" t="s">
        <v>23</v>
      </c>
      <c r="C39" s="4" t="s">
        <v>38</v>
      </c>
      <c r="D39" s="4" t="s">
        <v>0</v>
      </c>
      <c r="E39" s="4" t="s">
        <v>30</v>
      </c>
      <c r="F39" s="4" t="s">
        <v>31</v>
      </c>
      <c r="G39" s="8" t="str">
        <f t="shared" si="4"/>
        <v>08/03/2021</v>
      </c>
      <c r="H39" s="4" t="s">
        <v>1</v>
      </c>
      <c r="I39" s="4" t="s">
        <v>0</v>
      </c>
      <c r="J39" s="7" t="s">
        <v>164</v>
      </c>
      <c r="K39" s="7" t="s">
        <v>24</v>
      </c>
      <c r="L39" s="9" t="str">
        <f>+VLOOKUP(K39,'[1]BASE DE PROVEEDORES'!$A:$B,2,0)</f>
        <v>ECSA OPERADORA EL SALVADOR S.A DE C.V.</v>
      </c>
      <c r="M39" s="10">
        <v>1.46</v>
      </c>
      <c r="N39" s="7" t="s">
        <v>2</v>
      </c>
      <c r="O39" s="7" t="s">
        <v>2</v>
      </c>
      <c r="P39" s="10">
        <v>11.5</v>
      </c>
      <c r="Q39" s="29" t="s">
        <v>2</v>
      </c>
      <c r="R39" s="32" t="s">
        <v>2</v>
      </c>
      <c r="S39" s="32" t="s">
        <v>2</v>
      </c>
      <c r="T39" s="29">
        <f t="shared" si="5"/>
        <v>1.4950000000000001</v>
      </c>
      <c r="U39" s="29">
        <f t="shared" si="6"/>
        <v>14.455000000000002</v>
      </c>
      <c r="V39" s="4" t="s">
        <v>3</v>
      </c>
      <c r="X39" s="3">
        <f t="shared" si="7"/>
        <v>1.5</v>
      </c>
    </row>
    <row r="40" spans="1:24" hidden="1" x14ac:dyDescent="0.25">
      <c r="A40" s="7" t="s">
        <v>23</v>
      </c>
      <c r="C40" s="4" t="s">
        <v>38</v>
      </c>
      <c r="D40" s="4" t="s">
        <v>0</v>
      </c>
      <c r="E40" s="4" t="s">
        <v>30</v>
      </c>
      <c r="F40" s="4" t="s">
        <v>31</v>
      </c>
      <c r="G40" s="8" t="str">
        <f t="shared" si="4"/>
        <v>08/03/2021</v>
      </c>
      <c r="H40" s="4" t="s">
        <v>1</v>
      </c>
      <c r="I40" s="4" t="s">
        <v>0</v>
      </c>
      <c r="J40" s="7" t="s">
        <v>165</v>
      </c>
      <c r="K40" s="7" t="s">
        <v>24</v>
      </c>
      <c r="L40" s="9" t="str">
        <f>+VLOOKUP(K40,'[1]BASE DE PROVEEDORES'!$A:$B,2,0)</f>
        <v>ECSA OPERADORA EL SALVADOR S.A DE C.V.</v>
      </c>
      <c r="M40" s="10">
        <v>4.13</v>
      </c>
      <c r="N40" s="7" t="s">
        <v>2</v>
      </c>
      <c r="O40" s="7" t="s">
        <v>2</v>
      </c>
      <c r="P40" s="10">
        <v>29.76</v>
      </c>
      <c r="Q40" s="29" t="s">
        <v>2</v>
      </c>
      <c r="R40" s="32" t="s">
        <v>2</v>
      </c>
      <c r="S40" s="32" t="s">
        <v>2</v>
      </c>
      <c r="T40" s="29">
        <f t="shared" si="5"/>
        <v>3.8688000000000002</v>
      </c>
      <c r="U40" s="29">
        <f t="shared" si="6"/>
        <v>37.758800000000001</v>
      </c>
      <c r="V40" s="4" t="s">
        <v>3</v>
      </c>
      <c r="X40" s="3">
        <f t="shared" si="7"/>
        <v>3.87</v>
      </c>
    </row>
    <row r="41" spans="1:24" hidden="1" x14ac:dyDescent="0.25">
      <c r="A41" s="7" t="s">
        <v>23</v>
      </c>
      <c r="C41" s="4" t="s">
        <v>38</v>
      </c>
      <c r="D41" s="4" t="s">
        <v>0</v>
      </c>
      <c r="E41" s="4" t="s">
        <v>30</v>
      </c>
      <c r="F41" s="4" t="s">
        <v>31</v>
      </c>
      <c r="G41" s="8" t="str">
        <f t="shared" si="4"/>
        <v>08/03/2021</v>
      </c>
      <c r="H41" s="4" t="s">
        <v>1</v>
      </c>
      <c r="I41" s="4" t="s">
        <v>0</v>
      </c>
      <c r="J41" s="7" t="s">
        <v>195</v>
      </c>
      <c r="K41" s="7" t="s">
        <v>172</v>
      </c>
      <c r="L41" s="9" t="str">
        <f>+VLOOKUP(K41,'[1]BASE DE PROVEEDORES'!$A:$B,2,0)</f>
        <v>MANEJO INTEGRAL DE DESECHOS SOLIDOS SEM DE C.V.</v>
      </c>
      <c r="M41" s="10">
        <v>0</v>
      </c>
      <c r="N41" s="7" t="s">
        <v>2</v>
      </c>
      <c r="O41" s="7" t="s">
        <v>2</v>
      </c>
      <c r="P41" s="10">
        <v>100.7</v>
      </c>
      <c r="Q41" s="29" t="s">
        <v>2</v>
      </c>
      <c r="R41" s="32" t="s">
        <v>2</v>
      </c>
      <c r="S41" s="32" t="s">
        <v>2</v>
      </c>
      <c r="T41" s="29">
        <f t="shared" si="5"/>
        <v>13.091000000000001</v>
      </c>
      <c r="U41" s="29">
        <f t="shared" si="6"/>
        <v>113.791</v>
      </c>
      <c r="V41" s="4" t="s">
        <v>3</v>
      </c>
      <c r="X41" s="3">
        <f t="shared" si="7"/>
        <v>13.09</v>
      </c>
    </row>
    <row r="42" spans="1:24" hidden="1" x14ac:dyDescent="0.25">
      <c r="A42" s="7" t="s">
        <v>23</v>
      </c>
      <c r="C42" s="4" t="s">
        <v>34</v>
      </c>
      <c r="D42" s="4" t="s">
        <v>0</v>
      </c>
      <c r="E42" s="4" t="s">
        <v>30</v>
      </c>
      <c r="F42" s="4" t="s">
        <v>31</v>
      </c>
      <c r="G42" s="8" t="str">
        <f t="shared" si="4"/>
        <v>09/03/2021</v>
      </c>
      <c r="H42" s="4" t="s">
        <v>1</v>
      </c>
      <c r="I42" s="4" t="s">
        <v>0</v>
      </c>
      <c r="J42" s="7" t="s">
        <v>174</v>
      </c>
      <c r="K42" s="7" t="s">
        <v>172</v>
      </c>
      <c r="L42" s="9" t="str">
        <f>+VLOOKUP(K42,'[1]BASE DE PROVEEDORES'!$A:$B,2,0)</f>
        <v>MANEJO INTEGRAL DE DESECHOS SOLIDOS SEM DE C.V.</v>
      </c>
      <c r="M42" s="10">
        <v>0</v>
      </c>
      <c r="N42" s="7" t="s">
        <v>2</v>
      </c>
      <c r="O42" s="7" t="s">
        <v>2</v>
      </c>
      <c r="P42" s="10">
        <v>58.4</v>
      </c>
      <c r="Q42" s="29" t="s">
        <v>2</v>
      </c>
      <c r="R42" s="32" t="s">
        <v>2</v>
      </c>
      <c r="S42" s="32" t="s">
        <v>2</v>
      </c>
      <c r="T42" s="29">
        <f t="shared" si="5"/>
        <v>7.5919999999999996</v>
      </c>
      <c r="U42" s="29">
        <f t="shared" si="6"/>
        <v>65.992000000000004</v>
      </c>
      <c r="V42" s="4" t="s">
        <v>3</v>
      </c>
      <c r="X42" s="3">
        <f t="shared" si="7"/>
        <v>7.59</v>
      </c>
    </row>
    <row r="43" spans="1:24" hidden="1" x14ac:dyDescent="0.25">
      <c r="A43" s="7" t="s">
        <v>23</v>
      </c>
      <c r="C43" s="4" t="s">
        <v>34</v>
      </c>
      <c r="D43" s="4" t="s">
        <v>0</v>
      </c>
      <c r="E43" s="4" t="s">
        <v>30</v>
      </c>
      <c r="F43" s="4" t="s">
        <v>31</v>
      </c>
      <c r="G43" s="8" t="str">
        <f t="shared" si="4"/>
        <v>09/03/2021</v>
      </c>
      <c r="H43" s="4" t="s">
        <v>1</v>
      </c>
      <c r="I43" s="4" t="s">
        <v>0</v>
      </c>
      <c r="J43" s="7" t="s">
        <v>185</v>
      </c>
      <c r="K43" s="7" t="s">
        <v>172</v>
      </c>
      <c r="L43" s="9" t="str">
        <f>+VLOOKUP(K43,'[1]BASE DE PROVEEDORES'!$A:$B,2,0)</f>
        <v>MANEJO INTEGRAL DE DESECHOS SOLIDOS SEM DE C.V.</v>
      </c>
      <c r="M43" s="10">
        <v>0</v>
      </c>
      <c r="N43" s="7" t="s">
        <v>2</v>
      </c>
      <c r="O43" s="7" t="s">
        <v>2</v>
      </c>
      <c r="P43" s="10">
        <v>73.56</v>
      </c>
      <c r="Q43" s="29" t="s">
        <v>2</v>
      </c>
      <c r="R43" s="32" t="s">
        <v>2</v>
      </c>
      <c r="S43" s="32" t="s">
        <v>2</v>
      </c>
      <c r="T43" s="29">
        <f t="shared" si="5"/>
        <v>9.5628000000000011</v>
      </c>
      <c r="U43" s="29">
        <f t="shared" si="6"/>
        <v>83.122799999999998</v>
      </c>
      <c r="V43" s="4" t="s">
        <v>3</v>
      </c>
      <c r="X43" s="3">
        <f t="shared" si="7"/>
        <v>9.56</v>
      </c>
    </row>
    <row r="44" spans="1:24" hidden="1" x14ac:dyDescent="0.25">
      <c r="A44" s="7" t="s">
        <v>23</v>
      </c>
      <c r="C44" s="4" t="s">
        <v>27</v>
      </c>
      <c r="D44" s="4" t="s">
        <v>0</v>
      </c>
      <c r="E44" s="4" t="s">
        <v>30</v>
      </c>
      <c r="F44" s="4" t="s">
        <v>31</v>
      </c>
      <c r="G44" s="8" t="str">
        <f t="shared" si="4"/>
        <v>10/03/2021</v>
      </c>
      <c r="H44" s="4" t="s">
        <v>1</v>
      </c>
      <c r="I44" s="4" t="s">
        <v>0</v>
      </c>
      <c r="J44" s="7" t="s">
        <v>53</v>
      </c>
      <c r="K44" s="7" t="s">
        <v>45</v>
      </c>
      <c r="L44" s="9" t="str">
        <f>+VLOOKUP(K44,'[1]BASE DE PROVEEDORES'!$A:$B,2,0)</f>
        <v>JOSE RICARDO ANTONIO MOLINA</v>
      </c>
      <c r="M44" s="10">
        <v>11.18</v>
      </c>
      <c r="N44" s="7" t="s">
        <v>2</v>
      </c>
      <c r="O44" s="7" t="s">
        <v>2</v>
      </c>
      <c r="P44" s="10">
        <v>86.68</v>
      </c>
      <c r="Q44" s="29" t="s">
        <v>2</v>
      </c>
      <c r="R44" s="32" t="s">
        <v>2</v>
      </c>
      <c r="S44" s="32" t="s">
        <v>2</v>
      </c>
      <c r="T44" s="29">
        <f t="shared" si="5"/>
        <v>11.268400000000002</v>
      </c>
      <c r="U44" s="29">
        <f t="shared" si="6"/>
        <v>109.12840000000001</v>
      </c>
      <c r="V44" s="4" t="s">
        <v>3</v>
      </c>
      <c r="X44" s="3">
        <f t="shared" si="7"/>
        <v>11.27</v>
      </c>
    </row>
    <row r="45" spans="1:24" hidden="1" x14ac:dyDescent="0.25">
      <c r="A45" s="7" t="s">
        <v>23</v>
      </c>
      <c r="C45" s="4" t="s">
        <v>27</v>
      </c>
      <c r="D45" s="4" t="s">
        <v>0</v>
      </c>
      <c r="E45" s="4" t="s">
        <v>30</v>
      </c>
      <c r="F45" s="4" t="s">
        <v>31</v>
      </c>
      <c r="G45" s="8" t="str">
        <f t="shared" si="4"/>
        <v>10/03/2021</v>
      </c>
      <c r="H45" s="4" t="s">
        <v>1</v>
      </c>
      <c r="I45" s="4" t="s">
        <v>0</v>
      </c>
      <c r="J45" s="7" t="s">
        <v>166</v>
      </c>
      <c r="K45" s="7" t="s">
        <v>167</v>
      </c>
      <c r="L45" s="9" t="str">
        <f>+VLOOKUP(K45,'[1]BASE DE PROVEEDORES'!$A:$B,2,0)</f>
        <v>PROVEEDORES DE INSUMOS DIVERSOS S.A DE C.V.</v>
      </c>
      <c r="M45" s="10">
        <v>0</v>
      </c>
      <c r="N45" s="7" t="s">
        <v>2</v>
      </c>
      <c r="O45" s="7" t="s">
        <v>2</v>
      </c>
      <c r="P45" s="10">
        <v>49.56</v>
      </c>
      <c r="Q45" s="29" t="s">
        <v>2</v>
      </c>
      <c r="R45" s="32" t="s">
        <v>2</v>
      </c>
      <c r="S45" s="32" t="s">
        <v>2</v>
      </c>
      <c r="T45" s="29">
        <f t="shared" si="5"/>
        <v>6.4428000000000001</v>
      </c>
      <c r="U45" s="29">
        <f t="shared" si="6"/>
        <v>56.002800000000001</v>
      </c>
      <c r="V45" s="4" t="s">
        <v>3</v>
      </c>
      <c r="X45" s="3">
        <f t="shared" si="7"/>
        <v>6.44</v>
      </c>
    </row>
    <row r="46" spans="1:24" hidden="1" x14ac:dyDescent="0.25">
      <c r="A46" s="7" t="s">
        <v>23</v>
      </c>
      <c r="C46" s="4" t="s">
        <v>27</v>
      </c>
      <c r="D46" s="4" t="s">
        <v>0</v>
      </c>
      <c r="E46" s="4" t="s">
        <v>30</v>
      </c>
      <c r="F46" s="4" t="s">
        <v>31</v>
      </c>
      <c r="G46" s="8" t="str">
        <f t="shared" si="4"/>
        <v>10/03/2021</v>
      </c>
      <c r="H46" s="4" t="s">
        <v>1</v>
      </c>
      <c r="I46" s="4" t="s">
        <v>0</v>
      </c>
      <c r="J46" s="7" t="s">
        <v>170</v>
      </c>
      <c r="K46" s="7" t="s">
        <v>29</v>
      </c>
      <c r="L46" s="9" t="str">
        <f>+VLOOKUP(K46,'[1]BASE DE PROVEEDORES'!$A:$B,2,0)</f>
        <v xml:space="preserve">LA CASA DEL REPUESTO S.A DE C.V. </v>
      </c>
      <c r="M46" s="10">
        <v>0</v>
      </c>
      <c r="N46" s="7" t="s">
        <v>2</v>
      </c>
      <c r="O46" s="7" t="s">
        <v>2</v>
      </c>
      <c r="P46" s="10">
        <v>21.34</v>
      </c>
      <c r="Q46" s="29" t="s">
        <v>2</v>
      </c>
      <c r="R46" s="32" t="s">
        <v>2</v>
      </c>
      <c r="S46" s="32" t="s">
        <v>2</v>
      </c>
      <c r="T46" s="29">
        <f t="shared" si="5"/>
        <v>2.7742</v>
      </c>
      <c r="U46" s="29">
        <f t="shared" si="6"/>
        <v>24.1142</v>
      </c>
      <c r="V46" s="4" t="s">
        <v>3</v>
      </c>
      <c r="X46" s="3">
        <f t="shared" si="7"/>
        <v>2.77</v>
      </c>
    </row>
    <row r="47" spans="1:24" hidden="1" x14ac:dyDescent="0.25">
      <c r="A47" s="7" t="s">
        <v>23</v>
      </c>
      <c r="C47" s="4" t="s">
        <v>40</v>
      </c>
      <c r="D47" s="4" t="s">
        <v>0</v>
      </c>
      <c r="E47" s="4" t="s">
        <v>30</v>
      </c>
      <c r="F47" s="4" t="s">
        <v>31</v>
      </c>
      <c r="G47" s="8" t="str">
        <f t="shared" si="4"/>
        <v>11/03/2021</v>
      </c>
      <c r="H47" s="4" t="s">
        <v>1</v>
      </c>
      <c r="I47" s="4" t="s">
        <v>0</v>
      </c>
      <c r="J47" s="7" t="s">
        <v>98</v>
      </c>
      <c r="K47" s="7" t="s">
        <v>28</v>
      </c>
      <c r="L47" s="9" t="str">
        <f>+VLOOKUP(K47,'[1]BASE DE PROVEEDORES'!$A:$B,2,0)</f>
        <v xml:space="preserve">ACTIVIDADES PETROLERAS DE EL SALVADOR S.A DE C.V </v>
      </c>
      <c r="M47" s="10">
        <v>4.0199999999999996</v>
      </c>
      <c r="N47" s="7" t="s">
        <v>2</v>
      </c>
      <c r="O47" s="7" t="s">
        <v>2</v>
      </c>
      <c r="P47" s="10">
        <v>30.87</v>
      </c>
      <c r="Q47" s="29" t="s">
        <v>2</v>
      </c>
      <c r="R47" s="32" t="s">
        <v>2</v>
      </c>
      <c r="S47" s="32" t="s">
        <v>2</v>
      </c>
      <c r="T47" s="29">
        <f t="shared" si="5"/>
        <v>4.0131000000000006</v>
      </c>
      <c r="U47" s="29">
        <f t="shared" si="6"/>
        <v>38.903100000000002</v>
      </c>
      <c r="V47" s="4" t="s">
        <v>3</v>
      </c>
      <c r="X47" s="3">
        <f t="shared" si="7"/>
        <v>4.01</v>
      </c>
    </row>
    <row r="48" spans="1:24" hidden="1" x14ac:dyDescent="0.25">
      <c r="A48" s="7" t="s">
        <v>23</v>
      </c>
      <c r="C48" s="4" t="s">
        <v>40</v>
      </c>
      <c r="D48" s="4" t="s">
        <v>0</v>
      </c>
      <c r="E48" s="4" t="s">
        <v>30</v>
      </c>
      <c r="F48" s="4" t="s">
        <v>31</v>
      </c>
      <c r="G48" s="8" t="str">
        <f t="shared" si="4"/>
        <v>11/03/2021</v>
      </c>
      <c r="H48" s="4" t="s">
        <v>1</v>
      </c>
      <c r="I48" s="4" t="s">
        <v>0</v>
      </c>
      <c r="J48" s="7" t="s">
        <v>186</v>
      </c>
      <c r="K48" s="7" t="s">
        <v>172</v>
      </c>
      <c r="L48" s="9" t="str">
        <f>+VLOOKUP(K48,'[1]BASE DE PROVEEDORES'!$A:$B,2,0)</f>
        <v>MANEJO INTEGRAL DE DESECHOS SOLIDOS SEM DE C.V.</v>
      </c>
      <c r="M48" s="10">
        <v>0</v>
      </c>
      <c r="N48" s="7" t="s">
        <v>2</v>
      </c>
      <c r="O48" s="7" t="s">
        <v>2</v>
      </c>
      <c r="P48" s="10">
        <v>42.12</v>
      </c>
      <c r="Q48" s="29" t="s">
        <v>2</v>
      </c>
      <c r="R48" s="32" t="s">
        <v>2</v>
      </c>
      <c r="S48" s="32" t="s">
        <v>2</v>
      </c>
      <c r="T48" s="29">
        <f t="shared" si="5"/>
        <v>5.4756</v>
      </c>
      <c r="U48" s="29">
        <f t="shared" si="6"/>
        <v>47.595599999999997</v>
      </c>
      <c r="V48" s="4" t="s">
        <v>3</v>
      </c>
      <c r="X48" s="3">
        <f t="shared" si="7"/>
        <v>5.48</v>
      </c>
    </row>
    <row r="49" spans="1:24" hidden="1" x14ac:dyDescent="0.25">
      <c r="A49" s="7" t="s">
        <v>23</v>
      </c>
      <c r="C49" s="4" t="s">
        <v>50</v>
      </c>
      <c r="D49" s="4" t="s">
        <v>0</v>
      </c>
      <c r="E49" s="4" t="s">
        <v>30</v>
      </c>
      <c r="F49" s="4" t="s">
        <v>31</v>
      </c>
      <c r="G49" s="8" t="str">
        <f t="shared" si="4"/>
        <v>12/03/2021</v>
      </c>
      <c r="H49" s="4" t="s">
        <v>1</v>
      </c>
      <c r="I49" s="4" t="s">
        <v>0</v>
      </c>
      <c r="J49" s="7" t="s">
        <v>51</v>
      </c>
      <c r="K49" s="7" t="s">
        <v>45</v>
      </c>
      <c r="L49" s="9" t="str">
        <f>+VLOOKUP(K49,'[1]BASE DE PROVEEDORES'!$A:$B,2,0)</f>
        <v>JOSE RICARDO ANTONIO MOLINA</v>
      </c>
      <c r="M49" s="10">
        <v>10.050000000000001</v>
      </c>
      <c r="N49" s="7" t="s">
        <v>2</v>
      </c>
      <c r="O49" s="7" t="s">
        <v>2</v>
      </c>
      <c r="P49" s="10">
        <v>77.040000000000006</v>
      </c>
      <c r="Q49" s="29" t="s">
        <v>2</v>
      </c>
      <c r="R49" s="32" t="s">
        <v>2</v>
      </c>
      <c r="S49" s="32" t="s">
        <v>2</v>
      </c>
      <c r="T49" s="29">
        <f t="shared" si="5"/>
        <v>10.015200000000002</v>
      </c>
      <c r="U49" s="29">
        <f t="shared" si="6"/>
        <v>97.105200000000011</v>
      </c>
      <c r="V49" s="4" t="s">
        <v>3</v>
      </c>
      <c r="X49" s="3">
        <f t="shared" si="7"/>
        <v>10.02</v>
      </c>
    </row>
    <row r="50" spans="1:24" hidden="1" x14ac:dyDescent="0.25">
      <c r="A50" s="7" t="s">
        <v>23</v>
      </c>
      <c r="C50" s="4" t="s">
        <v>50</v>
      </c>
      <c r="D50" s="4" t="s">
        <v>0</v>
      </c>
      <c r="E50" s="4" t="s">
        <v>30</v>
      </c>
      <c r="F50" s="4" t="s">
        <v>31</v>
      </c>
      <c r="G50" s="8" t="str">
        <f t="shared" si="4"/>
        <v>12/03/2021</v>
      </c>
      <c r="H50" s="4" t="s">
        <v>1</v>
      </c>
      <c r="I50" s="4" t="s">
        <v>0</v>
      </c>
      <c r="J50" s="7" t="s">
        <v>52</v>
      </c>
      <c r="K50" s="7" t="s">
        <v>45</v>
      </c>
      <c r="L50" s="9" t="str">
        <f>+VLOOKUP(K50,'[1]BASE DE PROVEEDORES'!$A:$B,2,0)</f>
        <v>JOSE RICARDO ANTONIO MOLINA</v>
      </c>
      <c r="M50" s="10">
        <v>10.87</v>
      </c>
      <c r="N50" s="7" t="s">
        <v>2</v>
      </c>
      <c r="O50" s="7" t="s">
        <v>2</v>
      </c>
      <c r="P50" s="10">
        <v>83.32</v>
      </c>
      <c r="Q50" s="29" t="s">
        <v>2</v>
      </c>
      <c r="R50" s="32" t="s">
        <v>2</v>
      </c>
      <c r="S50" s="32" t="s">
        <v>2</v>
      </c>
      <c r="T50" s="29">
        <f t="shared" si="5"/>
        <v>10.8316</v>
      </c>
      <c r="U50" s="29">
        <f t="shared" si="6"/>
        <v>105.02159999999999</v>
      </c>
      <c r="V50" s="4" t="s">
        <v>3</v>
      </c>
      <c r="X50" s="3">
        <f t="shared" si="7"/>
        <v>10.83</v>
      </c>
    </row>
    <row r="51" spans="1:24" hidden="1" x14ac:dyDescent="0.25">
      <c r="A51" s="7" t="s">
        <v>23</v>
      </c>
      <c r="C51" s="4" t="s">
        <v>50</v>
      </c>
      <c r="D51" s="4" t="s">
        <v>0</v>
      </c>
      <c r="E51" s="4" t="s">
        <v>30</v>
      </c>
      <c r="F51" s="4" t="s">
        <v>31</v>
      </c>
      <c r="G51" s="8" t="str">
        <f t="shared" si="4"/>
        <v>12/03/2021</v>
      </c>
      <c r="H51" s="4" t="s">
        <v>1</v>
      </c>
      <c r="I51" s="4" t="s">
        <v>0</v>
      </c>
      <c r="J51" s="7" t="s">
        <v>97</v>
      </c>
      <c r="K51" s="7" t="s">
        <v>28</v>
      </c>
      <c r="L51" s="9" t="str">
        <f>+VLOOKUP(K51,'[1]BASE DE PROVEEDORES'!$A:$B,2,0)</f>
        <v xml:space="preserve">ACTIVIDADES PETROLERAS DE EL SALVADOR S.A DE C.V </v>
      </c>
      <c r="M51" s="10">
        <v>2.93</v>
      </c>
      <c r="N51" s="7" t="s">
        <v>2</v>
      </c>
      <c r="O51" s="7" t="s">
        <v>2</v>
      </c>
      <c r="P51" s="10">
        <v>22.46</v>
      </c>
      <c r="Q51" s="29" t="s">
        <v>2</v>
      </c>
      <c r="R51" s="32" t="s">
        <v>2</v>
      </c>
      <c r="S51" s="32" t="s">
        <v>2</v>
      </c>
      <c r="T51" s="29">
        <f t="shared" si="5"/>
        <v>2.9198000000000004</v>
      </c>
      <c r="U51" s="29">
        <f t="shared" si="6"/>
        <v>28.309800000000003</v>
      </c>
      <c r="V51" s="4" t="s">
        <v>3</v>
      </c>
      <c r="X51" s="3">
        <f t="shared" si="7"/>
        <v>2.92</v>
      </c>
    </row>
    <row r="52" spans="1:24" hidden="1" x14ac:dyDescent="0.25">
      <c r="A52" s="7" t="s">
        <v>23</v>
      </c>
      <c r="C52" s="4" t="s">
        <v>50</v>
      </c>
      <c r="D52" s="4" t="s">
        <v>0</v>
      </c>
      <c r="E52" s="4" t="s">
        <v>30</v>
      </c>
      <c r="F52" s="4" t="s">
        <v>31</v>
      </c>
      <c r="G52" s="8" t="str">
        <f t="shared" si="4"/>
        <v>12/03/2021</v>
      </c>
      <c r="H52" s="4" t="s">
        <v>1</v>
      </c>
      <c r="I52" s="4" t="s">
        <v>0</v>
      </c>
      <c r="J52" s="7" t="s">
        <v>133</v>
      </c>
      <c r="K52" s="7" t="s">
        <v>134</v>
      </c>
      <c r="L52" s="9" t="str">
        <f>+VLOOKUP(K52,'[1]BASE DE PROVEEDORES'!$A:$B,2,0)</f>
        <v>FONDO DE ACTIVIDADES ESPECIALES</v>
      </c>
      <c r="M52" s="10">
        <v>0</v>
      </c>
      <c r="N52" s="7" t="s">
        <v>2</v>
      </c>
      <c r="O52" s="7" t="s">
        <v>2</v>
      </c>
      <c r="P52" s="10">
        <v>68.569999999999993</v>
      </c>
      <c r="Q52" s="29" t="s">
        <v>2</v>
      </c>
      <c r="R52" s="32" t="s">
        <v>2</v>
      </c>
      <c r="S52" s="32" t="s">
        <v>2</v>
      </c>
      <c r="T52" s="29">
        <f t="shared" si="5"/>
        <v>8.9140999999999995</v>
      </c>
      <c r="U52" s="29">
        <f t="shared" si="6"/>
        <v>77.484099999999998</v>
      </c>
      <c r="V52" s="4" t="s">
        <v>3</v>
      </c>
      <c r="X52" s="3">
        <f t="shared" si="7"/>
        <v>8.91</v>
      </c>
    </row>
    <row r="53" spans="1:24" hidden="1" x14ac:dyDescent="0.25">
      <c r="A53" s="7" t="s">
        <v>23</v>
      </c>
      <c r="C53" s="4" t="s">
        <v>50</v>
      </c>
      <c r="D53" s="4" t="s">
        <v>0</v>
      </c>
      <c r="E53" s="4" t="s">
        <v>30</v>
      </c>
      <c r="F53" s="4" t="s">
        <v>31</v>
      </c>
      <c r="G53" s="8" t="str">
        <f t="shared" si="4"/>
        <v>12/03/2021</v>
      </c>
      <c r="H53" s="4" t="s">
        <v>1</v>
      </c>
      <c r="I53" s="4" t="s">
        <v>0</v>
      </c>
      <c r="J53" s="7" t="s">
        <v>168</v>
      </c>
      <c r="K53" s="7" t="s">
        <v>169</v>
      </c>
      <c r="L53" s="9" t="str">
        <f>+VLOOKUP(K53,'[1]BASE DE PROVEEDORES'!$A:$B,2,0)</f>
        <v xml:space="preserve">SUMINISTROS Y FERETERIA GENESIS S.A DE C.V. </v>
      </c>
      <c r="M53" s="10">
        <v>0</v>
      </c>
      <c r="N53" s="7" t="s">
        <v>2</v>
      </c>
      <c r="O53" s="7" t="s">
        <v>2</v>
      </c>
      <c r="P53" s="10">
        <v>16.37</v>
      </c>
      <c r="Q53" s="29" t="s">
        <v>2</v>
      </c>
      <c r="R53" s="32" t="s">
        <v>2</v>
      </c>
      <c r="S53" s="32" t="s">
        <v>2</v>
      </c>
      <c r="T53" s="29">
        <f t="shared" si="5"/>
        <v>2.1281000000000003</v>
      </c>
      <c r="U53" s="29">
        <f t="shared" si="6"/>
        <v>18.498100000000001</v>
      </c>
      <c r="V53" s="4" t="s">
        <v>3</v>
      </c>
      <c r="X53" s="3">
        <f t="shared" si="7"/>
        <v>2.13</v>
      </c>
    </row>
    <row r="54" spans="1:24" hidden="1" x14ac:dyDescent="0.25">
      <c r="A54" s="7" t="s">
        <v>23</v>
      </c>
      <c r="C54" s="4" t="s">
        <v>50</v>
      </c>
      <c r="D54" s="4" t="s">
        <v>0</v>
      </c>
      <c r="E54" s="4" t="s">
        <v>30</v>
      </c>
      <c r="F54" s="4" t="s">
        <v>31</v>
      </c>
      <c r="G54" s="8" t="str">
        <f t="shared" si="4"/>
        <v>12/03/2021</v>
      </c>
      <c r="H54" s="4" t="s">
        <v>1</v>
      </c>
      <c r="I54" s="4" t="s">
        <v>0</v>
      </c>
      <c r="J54" s="7" t="s">
        <v>175</v>
      </c>
      <c r="K54" s="7" t="s">
        <v>172</v>
      </c>
      <c r="L54" s="9" t="str">
        <f>+VLOOKUP(K54,'[1]BASE DE PROVEEDORES'!$A:$B,2,0)</f>
        <v>MANEJO INTEGRAL DE DESECHOS SOLIDOS SEM DE C.V.</v>
      </c>
      <c r="M54" s="10">
        <v>0</v>
      </c>
      <c r="N54" s="7" t="s">
        <v>2</v>
      </c>
      <c r="O54" s="7" t="s">
        <v>2</v>
      </c>
      <c r="P54" s="10">
        <v>49.7</v>
      </c>
      <c r="Q54" s="29" t="s">
        <v>2</v>
      </c>
      <c r="R54" s="32" t="s">
        <v>2</v>
      </c>
      <c r="S54" s="32" t="s">
        <v>2</v>
      </c>
      <c r="T54" s="29">
        <f t="shared" si="5"/>
        <v>6.4610000000000003</v>
      </c>
      <c r="U54" s="29">
        <f t="shared" si="6"/>
        <v>56.161000000000001</v>
      </c>
      <c r="V54" s="4" t="s">
        <v>3</v>
      </c>
      <c r="X54" s="3">
        <f t="shared" si="7"/>
        <v>6.46</v>
      </c>
    </row>
    <row r="55" spans="1:24" hidden="1" x14ac:dyDescent="0.25">
      <c r="A55" s="7" t="s">
        <v>23</v>
      </c>
      <c r="C55" s="4" t="s">
        <v>50</v>
      </c>
      <c r="D55" s="4" t="s">
        <v>0</v>
      </c>
      <c r="E55" s="4" t="s">
        <v>30</v>
      </c>
      <c r="F55" s="4" t="s">
        <v>31</v>
      </c>
      <c r="G55" s="8" t="str">
        <f t="shared" si="4"/>
        <v>12/03/2021</v>
      </c>
      <c r="H55" s="4" t="s">
        <v>1</v>
      </c>
      <c r="I55" s="4" t="s">
        <v>0</v>
      </c>
      <c r="J55" s="7" t="s">
        <v>200</v>
      </c>
      <c r="K55" s="7" t="s">
        <v>172</v>
      </c>
      <c r="L55" s="9" t="str">
        <f>+VLOOKUP(K55,'[1]BASE DE PROVEEDORES'!$A:$B,2,0)</f>
        <v>MANEJO INTEGRAL DE DESECHOS SOLIDOS SEM DE C.V.</v>
      </c>
      <c r="M55" s="10">
        <v>0</v>
      </c>
      <c r="N55" s="7" t="s">
        <v>2</v>
      </c>
      <c r="O55" s="7" t="s">
        <v>2</v>
      </c>
      <c r="P55" s="10">
        <v>56.26</v>
      </c>
      <c r="Q55" s="29" t="s">
        <v>2</v>
      </c>
      <c r="R55" s="32" t="s">
        <v>2</v>
      </c>
      <c r="S55" s="32" t="s">
        <v>2</v>
      </c>
      <c r="T55" s="29">
        <f t="shared" si="5"/>
        <v>7.3137999999999996</v>
      </c>
      <c r="U55" s="29">
        <f t="shared" si="6"/>
        <v>63.573799999999999</v>
      </c>
      <c r="V55" s="4" t="s">
        <v>3</v>
      </c>
      <c r="X55" s="3">
        <f t="shared" si="7"/>
        <v>7.31</v>
      </c>
    </row>
    <row r="56" spans="1:24" hidden="1" x14ac:dyDescent="0.25">
      <c r="A56" s="7" t="s">
        <v>23</v>
      </c>
      <c r="C56" s="4" t="s">
        <v>48</v>
      </c>
      <c r="D56" s="4" t="s">
        <v>0</v>
      </c>
      <c r="E56" s="4" t="s">
        <v>30</v>
      </c>
      <c r="F56" s="4" t="s">
        <v>31</v>
      </c>
      <c r="G56" s="8" t="str">
        <f t="shared" si="4"/>
        <v>13/03/2021</v>
      </c>
      <c r="H56" s="4" t="s">
        <v>1</v>
      </c>
      <c r="I56" s="4" t="s">
        <v>0</v>
      </c>
      <c r="J56" s="7" t="s">
        <v>49</v>
      </c>
      <c r="K56" s="7" t="s">
        <v>45</v>
      </c>
      <c r="L56" s="9" t="str">
        <f>+VLOOKUP(K56,'[1]BASE DE PROVEEDORES'!$A:$B,2,0)</f>
        <v>JOSE RICARDO ANTONIO MOLINA</v>
      </c>
      <c r="M56" s="10">
        <v>1.65</v>
      </c>
      <c r="N56" s="7" t="s">
        <v>2</v>
      </c>
      <c r="O56" s="7" t="s">
        <v>2</v>
      </c>
      <c r="P56" s="10">
        <v>12.69</v>
      </c>
      <c r="Q56" s="29" t="s">
        <v>2</v>
      </c>
      <c r="R56" s="32" t="s">
        <v>2</v>
      </c>
      <c r="S56" s="32" t="s">
        <v>2</v>
      </c>
      <c r="T56" s="29">
        <f t="shared" si="5"/>
        <v>1.6496999999999999</v>
      </c>
      <c r="U56" s="29">
        <f t="shared" si="6"/>
        <v>15.989699999999999</v>
      </c>
      <c r="V56" s="4" t="s">
        <v>3</v>
      </c>
      <c r="X56" s="3">
        <f t="shared" si="7"/>
        <v>1.65</v>
      </c>
    </row>
    <row r="57" spans="1:24" hidden="1" x14ac:dyDescent="0.25">
      <c r="A57" s="7" t="s">
        <v>23</v>
      </c>
      <c r="C57" s="4" t="s">
        <v>48</v>
      </c>
      <c r="D57" s="4" t="s">
        <v>0</v>
      </c>
      <c r="E57" s="4" t="s">
        <v>30</v>
      </c>
      <c r="F57" s="4" t="s">
        <v>31</v>
      </c>
      <c r="G57" s="8" t="str">
        <f t="shared" si="4"/>
        <v>13/03/2021</v>
      </c>
      <c r="H57" s="4" t="s">
        <v>1</v>
      </c>
      <c r="I57" s="4" t="s">
        <v>0</v>
      </c>
      <c r="J57" s="7" t="s">
        <v>162</v>
      </c>
      <c r="K57" s="7" t="s">
        <v>21</v>
      </c>
      <c r="L57" s="9" t="str">
        <f>+VLOOKUP(K57,'[1]BASE DE PROVEEDORES'!$A:$B,2,0)</f>
        <v>FREUND S.A DE C.V.</v>
      </c>
      <c r="M57" s="10">
        <v>0</v>
      </c>
      <c r="N57" s="7" t="s">
        <v>2</v>
      </c>
      <c r="O57" s="7" t="s">
        <v>2</v>
      </c>
      <c r="P57" s="10">
        <v>26.02</v>
      </c>
      <c r="Q57" s="29" t="s">
        <v>2</v>
      </c>
      <c r="R57" s="32" t="s">
        <v>2</v>
      </c>
      <c r="S57" s="32" t="s">
        <v>2</v>
      </c>
      <c r="T57" s="29">
        <f t="shared" si="5"/>
        <v>3.3826000000000001</v>
      </c>
      <c r="U57" s="29">
        <f t="shared" si="6"/>
        <v>29.4026</v>
      </c>
      <c r="V57" s="4" t="s">
        <v>3</v>
      </c>
      <c r="X57" s="3">
        <f t="shared" si="7"/>
        <v>3.38</v>
      </c>
    </row>
    <row r="58" spans="1:24" hidden="1" x14ac:dyDescent="0.25">
      <c r="A58" s="7" t="s">
        <v>23</v>
      </c>
      <c r="C58" s="4" t="s">
        <v>48</v>
      </c>
      <c r="D58" s="4" t="s">
        <v>0</v>
      </c>
      <c r="E58" s="4" t="s">
        <v>30</v>
      </c>
      <c r="F58" s="4" t="s">
        <v>31</v>
      </c>
      <c r="G58" s="8" t="str">
        <f t="shared" si="4"/>
        <v>13/03/2021</v>
      </c>
      <c r="H58" s="4" t="s">
        <v>1</v>
      </c>
      <c r="I58" s="4" t="s">
        <v>0</v>
      </c>
      <c r="J58" s="7" t="s">
        <v>187</v>
      </c>
      <c r="K58" s="7" t="s">
        <v>172</v>
      </c>
      <c r="L58" s="9" t="str">
        <f>+VLOOKUP(K58,'[1]BASE DE PROVEEDORES'!$A:$B,2,0)</f>
        <v>MANEJO INTEGRAL DE DESECHOS SOLIDOS SEM DE C.V.</v>
      </c>
      <c r="M58" s="10">
        <v>0</v>
      </c>
      <c r="N58" s="7" t="s">
        <v>2</v>
      </c>
      <c r="O58" s="7" t="s">
        <v>2</v>
      </c>
      <c r="P58" s="10">
        <v>39.03</v>
      </c>
      <c r="Q58" s="29" t="s">
        <v>2</v>
      </c>
      <c r="R58" s="32" t="s">
        <v>2</v>
      </c>
      <c r="S58" s="32" t="s">
        <v>2</v>
      </c>
      <c r="T58" s="29">
        <f t="shared" si="5"/>
        <v>5.0739000000000001</v>
      </c>
      <c r="U58" s="29">
        <f t="shared" si="6"/>
        <v>44.103900000000003</v>
      </c>
      <c r="V58" s="4" t="s">
        <v>3</v>
      </c>
      <c r="X58" s="3">
        <f t="shared" si="7"/>
        <v>5.07</v>
      </c>
    </row>
    <row r="59" spans="1:24" hidden="1" x14ac:dyDescent="0.25">
      <c r="A59" s="7" t="s">
        <v>23</v>
      </c>
      <c r="C59" s="4" t="s">
        <v>39</v>
      </c>
      <c r="D59" s="4" t="s">
        <v>0</v>
      </c>
      <c r="E59" s="4" t="s">
        <v>30</v>
      </c>
      <c r="F59" s="4" t="s">
        <v>31</v>
      </c>
      <c r="G59" s="8" t="str">
        <f t="shared" si="4"/>
        <v>15/03/2021</v>
      </c>
      <c r="H59" s="4" t="s">
        <v>1</v>
      </c>
      <c r="I59" s="4" t="s">
        <v>0</v>
      </c>
      <c r="J59" s="7" t="s">
        <v>46</v>
      </c>
      <c r="K59" s="7" t="s">
        <v>45</v>
      </c>
      <c r="L59" s="9" t="str">
        <f>+VLOOKUP(K59,'[1]BASE DE PROVEEDORES'!$A:$B,2,0)</f>
        <v>JOSE RICARDO ANTONIO MOLINA</v>
      </c>
      <c r="M59" s="10">
        <v>6.75</v>
      </c>
      <c r="N59" s="7" t="s">
        <v>2</v>
      </c>
      <c r="O59" s="7" t="s">
        <v>2</v>
      </c>
      <c r="P59" s="10">
        <v>51.77</v>
      </c>
      <c r="Q59" s="29" t="s">
        <v>2</v>
      </c>
      <c r="R59" s="32" t="s">
        <v>2</v>
      </c>
      <c r="S59" s="32" t="s">
        <v>2</v>
      </c>
      <c r="T59" s="29">
        <f t="shared" si="5"/>
        <v>6.7301000000000002</v>
      </c>
      <c r="U59" s="29">
        <f t="shared" si="6"/>
        <v>65.250100000000003</v>
      </c>
      <c r="V59" s="4" t="s">
        <v>3</v>
      </c>
      <c r="X59" s="3">
        <f t="shared" si="7"/>
        <v>6.73</v>
      </c>
    </row>
    <row r="60" spans="1:24" hidden="1" x14ac:dyDescent="0.25">
      <c r="A60" s="7" t="s">
        <v>23</v>
      </c>
      <c r="C60" s="4" t="s">
        <v>39</v>
      </c>
      <c r="D60" s="4" t="s">
        <v>0</v>
      </c>
      <c r="E60" s="4" t="s">
        <v>30</v>
      </c>
      <c r="F60" s="4" t="s">
        <v>31</v>
      </c>
      <c r="G60" s="8" t="str">
        <f t="shared" si="4"/>
        <v>15/03/2021</v>
      </c>
      <c r="H60" s="4" t="s">
        <v>1</v>
      </c>
      <c r="I60" s="4" t="s">
        <v>0</v>
      </c>
      <c r="J60" s="7" t="s">
        <v>47</v>
      </c>
      <c r="K60" s="7" t="s">
        <v>45</v>
      </c>
      <c r="L60" s="9" t="str">
        <f>+VLOOKUP(K60,'[1]BASE DE PROVEEDORES'!$A:$B,2,0)</f>
        <v>JOSE RICARDO ANTONIO MOLINA</v>
      </c>
      <c r="M60" s="10">
        <v>11.59</v>
      </c>
      <c r="N60" s="7" t="s">
        <v>2</v>
      </c>
      <c r="O60" s="7" t="s">
        <v>2</v>
      </c>
      <c r="P60" s="10">
        <v>88.86</v>
      </c>
      <c r="Q60" s="29" t="s">
        <v>2</v>
      </c>
      <c r="R60" s="32" t="s">
        <v>2</v>
      </c>
      <c r="S60" s="32" t="s">
        <v>2</v>
      </c>
      <c r="T60" s="29">
        <f t="shared" si="5"/>
        <v>11.5518</v>
      </c>
      <c r="U60" s="29">
        <f t="shared" si="6"/>
        <v>112.0018</v>
      </c>
      <c r="V60" s="4" t="s">
        <v>3</v>
      </c>
      <c r="X60" s="3">
        <f t="shared" si="7"/>
        <v>11.55</v>
      </c>
    </row>
    <row r="61" spans="1:24" hidden="1" x14ac:dyDescent="0.25">
      <c r="A61" s="7" t="s">
        <v>23</v>
      </c>
      <c r="C61" s="4" t="s">
        <v>39</v>
      </c>
      <c r="D61" s="4" t="s">
        <v>0</v>
      </c>
      <c r="E61" s="4" t="s">
        <v>30</v>
      </c>
      <c r="F61" s="4" t="s">
        <v>31</v>
      </c>
      <c r="G61" s="8" t="str">
        <f t="shared" si="4"/>
        <v>15/03/2021</v>
      </c>
      <c r="H61" s="4" t="s">
        <v>1</v>
      </c>
      <c r="I61" s="4" t="s">
        <v>0</v>
      </c>
      <c r="J61" s="7" t="s">
        <v>96</v>
      </c>
      <c r="K61" s="7" t="s">
        <v>28</v>
      </c>
      <c r="L61" s="9" t="str">
        <f>+VLOOKUP(K61,'[1]BASE DE PROVEEDORES'!$A:$B,2,0)</f>
        <v xml:space="preserve">ACTIVIDADES PETROLERAS DE EL SALVADOR S.A DE C.V </v>
      </c>
      <c r="M61" s="10">
        <v>3.51</v>
      </c>
      <c r="N61" s="7" t="s">
        <v>2</v>
      </c>
      <c r="O61" s="7" t="s">
        <v>2</v>
      </c>
      <c r="P61" s="10">
        <v>26.98</v>
      </c>
      <c r="Q61" s="29" t="s">
        <v>2</v>
      </c>
      <c r="R61" s="32" t="s">
        <v>2</v>
      </c>
      <c r="S61" s="32" t="s">
        <v>2</v>
      </c>
      <c r="T61" s="29">
        <f t="shared" si="5"/>
        <v>3.5074000000000001</v>
      </c>
      <c r="U61" s="29">
        <f t="shared" si="6"/>
        <v>33.997399999999999</v>
      </c>
      <c r="V61" s="4" t="s">
        <v>3</v>
      </c>
      <c r="X61" s="3">
        <f t="shared" si="7"/>
        <v>3.51</v>
      </c>
    </row>
    <row r="62" spans="1:24" hidden="1" x14ac:dyDescent="0.25">
      <c r="A62" s="7" t="s">
        <v>23</v>
      </c>
      <c r="C62" s="4" t="s">
        <v>39</v>
      </c>
      <c r="D62" s="4" t="s">
        <v>0</v>
      </c>
      <c r="E62" s="4" t="s">
        <v>30</v>
      </c>
      <c r="F62" s="4" t="s">
        <v>31</v>
      </c>
      <c r="G62" s="8" t="str">
        <f t="shared" si="4"/>
        <v>15/03/2021</v>
      </c>
      <c r="H62" s="4" t="s">
        <v>1</v>
      </c>
      <c r="I62" s="4" t="s">
        <v>0</v>
      </c>
      <c r="J62" s="7" t="s">
        <v>196</v>
      </c>
      <c r="K62" s="7" t="s">
        <v>172</v>
      </c>
      <c r="L62" s="9" t="str">
        <f>+VLOOKUP(K62,'[1]BASE DE PROVEEDORES'!$A:$B,2,0)</f>
        <v>MANEJO INTEGRAL DE DESECHOS SOLIDOS SEM DE C.V.</v>
      </c>
      <c r="M62" s="10">
        <v>0</v>
      </c>
      <c r="N62" s="7" t="s">
        <v>2</v>
      </c>
      <c r="O62" s="7" t="s">
        <v>2</v>
      </c>
      <c r="P62" s="10">
        <v>69.760000000000005</v>
      </c>
      <c r="Q62" s="29" t="s">
        <v>2</v>
      </c>
      <c r="R62" s="32" t="s">
        <v>2</v>
      </c>
      <c r="S62" s="32" t="s">
        <v>2</v>
      </c>
      <c r="T62" s="29">
        <f t="shared" si="5"/>
        <v>9.0688000000000013</v>
      </c>
      <c r="U62" s="29">
        <f t="shared" si="6"/>
        <v>78.828800000000001</v>
      </c>
      <c r="V62" s="4" t="s">
        <v>3</v>
      </c>
      <c r="X62" s="3">
        <f t="shared" si="7"/>
        <v>9.07</v>
      </c>
    </row>
    <row r="63" spans="1:24" hidden="1" x14ac:dyDescent="0.25">
      <c r="A63" s="7" t="s">
        <v>23</v>
      </c>
      <c r="C63" s="4" t="s">
        <v>176</v>
      </c>
      <c r="D63" s="4" t="s">
        <v>0</v>
      </c>
      <c r="E63" s="4" t="s">
        <v>30</v>
      </c>
      <c r="F63" s="4" t="s">
        <v>31</v>
      </c>
      <c r="G63" s="8" t="str">
        <f t="shared" si="4"/>
        <v>16/03/2021</v>
      </c>
      <c r="H63" s="4" t="s">
        <v>1</v>
      </c>
      <c r="I63" s="4" t="s">
        <v>0</v>
      </c>
      <c r="J63" s="7" t="s">
        <v>177</v>
      </c>
      <c r="K63" s="7" t="s">
        <v>172</v>
      </c>
      <c r="L63" s="9" t="str">
        <f>+VLOOKUP(K63,'[1]BASE DE PROVEEDORES'!$A:$B,2,0)</f>
        <v>MANEJO INTEGRAL DE DESECHOS SOLIDOS SEM DE C.V.</v>
      </c>
      <c r="M63" s="10">
        <v>0</v>
      </c>
      <c r="N63" s="7" t="s">
        <v>2</v>
      </c>
      <c r="O63" s="7" t="s">
        <v>2</v>
      </c>
      <c r="P63" s="10">
        <v>52.79</v>
      </c>
      <c r="Q63" s="29" t="s">
        <v>2</v>
      </c>
      <c r="R63" s="32" t="s">
        <v>2</v>
      </c>
      <c r="S63" s="32" t="s">
        <v>2</v>
      </c>
      <c r="T63" s="29">
        <f t="shared" si="5"/>
        <v>6.8627000000000002</v>
      </c>
      <c r="U63" s="29">
        <f t="shared" si="6"/>
        <v>59.652699999999996</v>
      </c>
      <c r="V63" s="4" t="s">
        <v>3</v>
      </c>
      <c r="X63" s="3">
        <f t="shared" si="7"/>
        <v>6.86</v>
      </c>
    </row>
    <row r="64" spans="1:24" hidden="1" x14ac:dyDescent="0.25">
      <c r="A64" s="7" t="s">
        <v>23</v>
      </c>
      <c r="C64" s="4" t="s">
        <v>26</v>
      </c>
      <c r="D64" s="4" t="s">
        <v>0</v>
      </c>
      <c r="E64" s="4" t="s">
        <v>30</v>
      </c>
      <c r="F64" s="4" t="s">
        <v>31</v>
      </c>
      <c r="G64" s="8" t="str">
        <f t="shared" si="4"/>
        <v>17/03/2021</v>
      </c>
      <c r="H64" s="4" t="s">
        <v>1</v>
      </c>
      <c r="I64" s="4" t="s">
        <v>0</v>
      </c>
      <c r="J64" s="7" t="s">
        <v>80</v>
      </c>
      <c r="K64" s="7" t="s">
        <v>45</v>
      </c>
      <c r="L64" s="9" t="str">
        <f>+VLOOKUP(K64,'[1]BASE DE PROVEEDORES'!$A:$B,2,0)</f>
        <v>JOSE RICARDO ANTONIO MOLINA</v>
      </c>
      <c r="M64" s="10">
        <v>4.6100000000000003</v>
      </c>
      <c r="N64" s="7" t="s">
        <v>2</v>
      </c>
      <c r="O64" s="7" t="s">
        <v>2</v>
      </c>
      <c r="P64" s="10">
        <v>35.35</v>
      </c>
      <c r="Q64" s="29" t="s">
        <v>2</v>
      </c>
      <c r="R64" s="32" t="s">
        <v>2</v>
      </c>
      <c r="S64" s="32" t="s">
        <v>2</v>
      </c>
      <c r="T64" s="29">
        <f t="shared" si="5"/>
        <v>4.5955000000000004</v>
      </c>
      <c r="U64" s="29">
        <f t="shared" si="6"/>
        <v>44.555500000000002</v>
      </c>
      <c r="V64" s="4" t="s">
        <v>3</v>
      </c>
      <c r="X64" s="3">
        <f t="shared" si="7"/>
        <v>4.5999999999999996</v>
      </c>
    </row>
    <row r="65" spans="1:24" hidden="1" x14ac:dyDescent="0.25">
      <c r="A65" s="7" t="s">
        <v>23</v>
      </c>
      <c r="C65" s="4" t="s">
        <v>26</v>
      </c>
      <c r="D65" s="4" t="s">
        <v>0</v>
      </c>
      <c r="E65" s="4" t="s">
        <v>30</v>
      </c>
      <c r="F65" s="4" t="s">
        <v>31</v>
      </c>
      <c r="G65" s="8" t="str">
        <f t="shared" si="4"/>
        <v>17/03/2021</v>
      </c>
      <c r="H65" s="4" t="s">
        <v>1</v>
      </c>
      <c r="I65" s="4" t="s">
        <v>0</v>
      </c>
      <c r="J65" s="7" t="s">
        <v>81</v>
      </c>
      <c r="K65" s="7" t="s">
        <v>45</v>
      </c>
      <c r="L65" s="9" t="str">
        <f>+VLOOKUP(K65,'[1]BASE DE PROVEEDORES'!$A:$B,2,0)</f>
        <v>JOSE RICARDO ANTONIO MOLINA</v>
      </c>
      <c r="M65" s="10">
        <v>11.07</v>
      </c>
      <c r="N65" s="7" t="s">
        <v>2</v>
      </c>
      <c r="O65" s="7" t="s">
        <v>2</v>
      </c>
      <c r="P65" s="10">
        <v>84.89</v>
      </c>
      <c r="Q65" s="29" t="s">
        <v>2</v>
      </c>
      <c r="R65" s="32" t="s">
        <v>2</v>
      </c>
      <c r="S65" s="32" t="s">
        <v>2</v>
      </c>
      <c r="T65" s="29">
        <f t="shared" si="5"/>
        <v>11.0357</v>
      </c>
      <c r="U65" s="29">
        <f t="shared" si="6"/>
        <v>106.99570000000001</v>
      </c>
      <c r="V65" s="4" t="s">
        <v>3</v>
      </c>
      <c r="X65" s="3">
        <f t="shared" si="7"/>
        <v>11.04</v>
      </c>
    </row>
    <row r="66" spans="1:24" hidden="1" x14ac:dyDescent="0.25">
      <c r="A66" s="7" t="s">
        <v>23</v>
      </c>
      <c r="C66" s="4" t="s">
        <v>26</v>
      </c>
      <c r="D66" s="4" t="s">
        <v>0</v>
      </c>
      <c r="E66" s="4" t="s">
        <v>30</v>
      </c>
      <c r="F66" s="4" t="s">
        <v>31</v>
      </c>
      <c r="G66" s="8" t="str">
        <f t="shared" ref="G66:G97" si="8">+C66&amp;F66&amp;D66&amp;F66&amp;E66</f>
        <v>17/03/2021</v>
      </c>
      <c r="H66" s="4" t="s">
        <v>1</v>
      </c>
      <c r="I66" s="4" t="s">
        <v>0</v>
      </c>
      <c r="J66" s="7" t="s">
        <v>95</v>
      </c>
      <c r="K66" s="7" t="s">
        <v>28</v>
      </c>
      <c r="L66" s="9" t="str">
        <f>+VLOOKUP(K66,'[1]BASE DE PROVEEDORES'!$A:$B,2,0)</f>
        <v xml:space="preserve">ACTIVIDADES PETROLERAS DE EL SALVADOR S.A DE C.V </v>
      </c>
      <c r="M66" s="10">
        <v>3.75</v>
      </c>
      <c r="N66" s="7" t="s">
        <v>2</v>
      </c>
      <c r="O66" s="7" t="s">
        <v>2</v>
      </c>
      <c r="P66" s="10">
        <v>28.74</v>
      </c>
      <c r="Q66" s="29" t="s">
        <v>2</v>
      </c>
      <c r="R66" s="32" t="s">
        <v>2</v>
      </c>
      <c r="S66" s="32" t="s">
        <v>2</v>
      </c>
      <c r="T66" s="29">
        <f t="shared" ref="T66:T97" si="9">+P66*0.13</f>
        <v>3.7361999999999997</v>
      </c>
      <c r="U66" s="29">
        <f t="shared" ref="U66:U97" si="10">+M66+P66+T66</f>
        <v>36.226199999999992</v>
      </c>
      <c r="V66" s="4" t="s">
        <v>3</v>
      </c>
      <c r="X66" s="3">
        <f t="shared" ref="X66:X97" si="11">+ROUND(T66,2)</f>
        <v>3.74</v>
      </c>
    </row>
    <row r="67" spans="1:24" hidden="1" x14ac:dyDescent="0.25">
      <c r="A67" s="7" t="s">
        <v>23</v>
      </c>
      <c r="C67" s="4" t="s">
        <v>26</v>
      </c>
      <c r="D67" s="4" t="s">
        <v>0</v>
      </c>
      <c r="E67" s="4" t="s">
        <v>30</v>
      </c>
      <c r="F67" s="4" t="s">
        <v>31</v>
      </c>
      <c r="G67" s="8" t="str">
        <f t="shared" si="8"/>
        <v>17/03/2021</v>
      </c>
      <c r="H67" s="4" t="s">
        <v>1</v>
      </c>
      <c r="I67" s="4" t="s">
        <v>0</v>
      </c>
      <c r="J67" s="7" t="s">
        <v>160</v>
      </c>
      <c r="K67" s="7" t="s">
        <v>161</v>
      </c>
      <c r="L67" s="9" t="str">
        <f>+VLOOKUP(K67,'[1]BASE DE PROVEEDORES'!$A:$B,2,0)</f>
        <v>UNILLANTAS S.A DE C.V.</v>
      </c>
      <c r="M67" s="10">
        <v>0</v>
      </c>
      <c r="N67" s="7" t="s">
        <v>2</v>
      </c>
      <c r="O67" s="7" t="s">
        <v>2</v>
      </c>
      <c r="P67" s="10">
        <v>236.99</v>
      </c>
      <c r="Q67" s="29" t="s">
        <v>2</v>
      </c>
      <c r="R67" s="32" t="s">
        <v>2</v>
      </c>
      <c r="S67" s="32" t="s">
        <v>2</v>
      </c>
      <c r="T67" s="29">
        <f t="shared" si="9"/>
        <v>30.808700000000002</v>
      </c>
      <c r="U67" s="29">
        <f t="shared" si="10"/>
        <v>267.7987</v>
      </c>
      <c r="V67" s="4" t="s">
        <v>3</v>
      </c>
      <c r="X67" s="3">
        <f t="shared" si="11"/>
        <v>30.81</v>
      </c>
    </row>
    <row r="68" spans="1:24" hidden="1" x14ac:dyDescent="0.25">
      <c r="A68" s="7" t="s">
        <v>23</v>
      </c>
      <c r="C68" s="4" t="s">
        <v>26</v>
      </c>
      <c r="D68" s="4" t="s">
        <v>0</v>
      </c>
      <c r="E68" s="4" t="s">
        <v>30</v>
      </c>
      <c r="F68" s="4" t="s">
        <v>31</v>
      </c>
      <c r="G68" s="8" t="str">
        <f t="shared" si="8"/>
        <v>17/03/2021</v>
      </c>
      <c r="H68" s="4" t="s">
        <v>1</v>
      </c>
      <c r="I68" s="4" t="s">
        <v>0</v>
      </c>
      <c r="J68" s="7" t="s">
        <v>188</v>
      </c>
      <c r="K68" s="7" t="s">
        <v>172</v>
      </c>
      <c r="L68" s="9" t="str">
        <f>+VLOOKUP(K68,'[1]BASE DE PROVEEDORES'!$A:$B,2,0)</f>
        <v>MANEJO INTEGRAL DE DESECHOS SOLIDOS SEM DE C.V.</v>
      </c>
      <c r="M68" s="10">
        <v>0</v>
      </c>
      <c r="N68" s="7" t="s">
        <v>2</v>
      </c>
      <c r="O68" s="7" t="s">
        <v>2</v>
      </c>
      <c r="P68" s="10">
        <v>83.11</v>
      </c>
      <c r="Q68" s="29" t="s">
        <v>2</v>
      </c>
      <c r="R68" s="32" t="s">
        <v>2</v>
      </c>
      <c r="S68" s="32" t="s">
        <v>2</v>
      </c>
      <c r="T68" s="29">
        <f t="shared" si="9"/>
        <v>10.8043</v>
      </c>
      <c r="U68" s="29">
        <f t="shared" si="10"/>
        <v>93.914299999999997</v>
      </c>
      <c r="V68" s="4" t="s">
        <v>3</v>
      </c>
      <c r="X68" s="3">
        <f t="shared" si="11"/>
        <v>10.8</v>
      </c>
    </row>
    <row r="69" spans="1:24" hidden="1" x14ac:dyDescent="0.25">
      <c r="A69" s="7" t="s">
        <v>23</v>
      </c>
      <c r="C69" s="4" t="s">
        <v>93</v>
      </c>
      <c r="D69" s="4" t="s">
        <v>0</v>
      </c>
      <c r="E69" s="4" t="s">
        <v>30</v>
      </c>
      <c r="F69" s="4" t="s">
        <v>31</v>
      </c>
      <c r="G69" s="8" t="str">
        <f t="shared" si="8"/>
        <v>18/03/2021</v>
      </c>
      <c r="H69" s="4" t="s">
        <v>1</v>
      </c>
      <c r="I69" s="4" t="s">
        <v>0</v>
      </c>
      <c r="J69" s="7" t="s">
        <v>94</v>
      </c>
      <c r="K69" s="7" t="s">
        <v>28</v>
      </c>
      <c r="L69" s="9" t="str">
        <f>+VLOOKUP(K69,'[1]BASE DE PROVEEDORES'!$A:$B,2,0)</f>
        <v xml:space="preserve">ACTIVIDADES PETROLERAS DE EL SALVADOR S.A DE C.V </v>
      </c>
      <c r="M69" s="10">
        <v>1.93</v>
      </c>
      <c r="N69" s="7" t="s">
        <v>2</v>
      </c>
      <c r="O69" s="7" t="s">
        <v>2</v>
      </c>
      <c r="P69" s="10">
        <v>14.9</v>
      </c>
      <c r="Q69" s="29" t="s">
        <v>2</v>
      </c>
      <c r="R69" s="32" t="s">
        <v>2</v>
      </c>
      <c r="S69" s="32" t="s">
        <v>2</v>
      </c>
      <c r="T69" s="29">
        <f t="shared" si="9"/>
        <v>1.9370000000000001</v>
      </c>
      <c r="U69" s="29">
        <f t="shared" si="10"/>
        <v>18.767000000000003</v>
      </c>
      <c r="V69" s="4" t="s">
        <v>3</v>
      </c>
      <c r="X69" s="3">
        <f t="shared" si="11"/>
        <v>1.94</v>
      </c>
    </row>
    <row r="70" spans="1:24" hidden="1" x14ac:dyDescent="0.25">
      <c r="A70" s="7" t="s">
        <v>23</v>
      </c>
      <c r="C70" s="4" t="s">
        <v>93</v>
      </c>
      <c r="D70" s="4" t="s">
        <v>0</v>
      </c>
      <c r="E70" s="4" t="s">
        <v>30</v>
      </c>
      <c r="F70" s="4" t="s">
        <v>31</v>
      </c>
      <c r="G70" s="8" t="str">
        <f t="shared" si="8"/>
        <v>18/03/2021</v>
      </c>
      <c r="H70" s="4" t="s">
        <v>1</v>
      </c>
      <c r="I70" s="4" t="s">
        <v>0</v>
      </c>
      <c r="J70" s="7" t="s">
        <v>124</v>
      </c>
      <c r="K70" s="7" t="s">
        <v>28</v>
      </c>
      <c r="L70" s="9" t="str">
        <f>+VLOOKUP(K70,'[1]BASE DE PROVEEDORES'!$A:$B,2,0)</f>
        <v xml:space="preserve">ACTIVIDADES PETROLERAS DE EL SALVADOR S.A DE C.V </v>
      </c>
      <c r="M70" s="10">
        <v>2.95</v>
      </c>
      <c r="N70" s="7" t="s">
        <v>2</v>
      </c>
      <c r="O70" s="7" t="s">
        <v>2</v>
      </c>
      <c r="P70" s="10">
        <v>25.71</v>
      </c>
      <c r="Q70" s="29" t="s">
        <v>2</v>
      </c>
      <c r="R70" s="32" t="s">
        <v>2</v>
      </c>
      <c r="S70" s="32" t="s">
        <v>2</v>
      </c>
      <c r="T70" s="29">
        <f t="shared" si="9"/>
        <v>3.3423000000000003</v>
      </c>
      <c r="U70" s="29">
        <f t="shared" si="10"/>
        <v>32.002299999999998</v>
      </c>
      <c r="V70" s="4" t="s">
        <v>3</v>
      </c>
      <c r="X70" s="3">
        <f t="shared" si="11"/>
        <v>3.34</v>
      </c>
    </row>
    <row r="71" spans="1:24" hidden="1" x14ac:dyDescent="0.25">
      <c r="A71" s="7" t="s">
        <v>23</v>
      </c>
      <c r="C71" s="4" t="s">
        <v>93</v>
      </c>
      <c r="D71" s="4" t="s">
        <v>0</v>
      </c>
      <c r="E71" s="4" t="s">
        <v>30</v>
      </c>
      <c r="F71" s="4" t="s">
        <v>31</v>
      </c>
      <c r="G71" s="8" t="str">
        <f t="shared" si="8"/>
        <v>18/03/2021</v>
      </c>
      <c r="H71" s="4" t="s">
        <v>1</v>
      </c>
      <c r="I71" s="4" t="s">
        <v>0</v>
      </c>
      <c r="J71" s="7" t="s">
        <v>189</v>
      </c>
      <c r="K71" s="7" t="s">
        <v>172</v>
      </c>
      <c r="L71" s="9" t="str">
        <f>+VLOOKUP(K71,'[1]BASE DE PROVEEDORES'!$A:$B,2,0)</f>
        <v>MANEJO INTEGRAL DE DESECHOS SOLIDOS SEM DE C.V.</v>
      </c>
      <c r="M71" s="10">
        <v>0</v>
      </c>
      <c r="N71" s="7" t="s">
        <v>2</v>
      </c>
      <c r="O71" s="7" t="s">
        <v>2</v>
      </c>
      <c r="P71" s="10">
        <v>37.619999999999997</v>
      </c>
      <c r="Q71" s="29" t="s">
        <v>2</v>
      </c>
      <c r="R71" s="32" t="s">
        <v>2</v>
      </c>
      <c r="S71" s="32" t="s">
        <v>2</v>
      </c>
      <c r="T71" s="29">
        <f t="shared" si="9"/>
        <v>4.8906000000000001</v>
      </c>
      <c r="U71" s="29">
        <f t="shared" si="10"/>
        <v>42.510599999999997</v>
      </c>
      <c r="V71" s="4" t="s">
        <v>3</v>
      </c>
      <c r="X71" s="3">
        <f t="shared" si="11"/>
        <v>4.8899999999999997</v>
      </c>
    </row>
    <row r="72" spans="1:24" hidden="1" x14ac:dyDescent="0.25">
      <c r="A72" s="7" t="s">
        <v>23</v>
      </c>
      <c r="C72" s="4" t="s">
        <v>37</v>
      </c>
      <c r="D72" s="4" t="s">
        <v>0</v>
      </c>
      <c r="E72" s="4" t="s">
        <v>30</v>
      </c>
      <c r="F72" s="4" t="s">
        <v>31</v>
      </c>
      <c r="G72" s="8" t="str">
        <f t="shared" si="8"/>
        <v>19/03/2021</v>
      </c>
      <c r="H72" s="4" t="s">
        <v>1</v>
      </c>
      <c r="I72" s="4" t="s">
        <v>0</v>
      </c>
      <c r="J72" s="7" t="s">
        <v>79</v>
      </c>
      <c r="K72" s="7" t="s">
        <v>45</v>
      </c>
      <c r="L72" s="9" t="str">
        <f>+VLOOKUP(K72,'[1]BASE DE PROVEEDORES'!$A:$B,2,0)</f>
        <v>JOSE RICARDO ANTONIO MOLINA</v>
      </c>
      <c r="M72" s="10">
        <v>11.38</v>
      </c>
      <c r="N72" s="7" t="s">
        <v>2</v>
      </c>
      <c r="O72" s="7" t="s">
        <v>2</v>
      </c>
      <c r="P72" s="10">
        <v>87.27</v>
      </c>
      <c r="Q72" s="29" t="s">
        <v>2</v>
      </c>
      <c r="R72" s="32" t="s">
        <v>2</v>
      </c>
      <c r="S72" s="32" t="s">
        <v>2</v>
      </c>
      <c r="T72" s="29">
        <f t="shared" si="9"/>
        <v>11.3451</v>
      </c>
      <c r="U72" s="29">
        <f t="shared" si="10"/>
        <v>109.99509999999999</v>
      </c>
      <c r="V72" s="4" t="s">
        <v>3</v>
      </c>
      <c r="X72" s="3">
        <f t="shared" si="11"/>
        <v>11.35</v>
      </c>
    </row>
    <row r="73" spans="1:24" hidden="1" x14ac:dyDescent="0.25">
      <c r="A73" s="7" t="s">
        <v>23</v>
      </c>
      <c r="C73" s="4" t="s">
        <v>37</v>
      </c>
      <c r="D73" s="4" t="s">
        <v>0</v>
      </c>
      <c r="E73" s="4" t="s">
        <v>30</v>
      </c>
      <c r="F73" s="4" t="s">
        <v>31</v>
      </c>
      <c r="G73" s="8" t="str">
        <f t="shared" si="8"/>
        <v>19/03/2021</v>
      </c>
      <c r="H73" s="4" t="s">
        <v>1</v>
      </c>
      <c r="I73" s="4" t="s">
        <v>0</v>
      </c>
      <c r="J73" s="7" t="s">
        <v>114</v>
      </c>
      <c r="K73" s="7" t="s">
        <v>115</v>
      </c>
      <c r="L73" s="9" t="str">
        <f>+VLOOKUP(K73,'[1]BASE DE PROVEEDORES'!$A:$B,2,0)</f>
        <v>JOSE ELIAS CASTELLANOS ARTIGA</v>
      </c>
      <c r="M73" s="10">
        <v>0</v>
      </c>
      <c r="N73" s="7" t="s">
        <v>2</v>
      </c>
      <c r="O73" s="7" t="s">
        <v>2</v>
      </c>
      <c r="P73" s="10">
        <v>4.42</v>
      </c>
      <c r="Q73" s="29" t="s">
        <v>2</v>
      </c>
      <c r="R73" s="32" t="s">
        <v>2</v>
      </c>
      <c r="S73" s="32" t="s">
        <v>2</v>
      </c>
      <c r="T73" s="29">
        <f t="shared" si="9"/>
        <v>0.5746</v>
      </c>
      <c r="U73" s="29">
        <f t="shared" si="10"/>
        <v>4.9946000000000002</v>
      </c>
      <c r="V73" s="4" t="s">
        <v>3</v>
      </c>
      <c r="X73" s="3">
        <f t="shared" si="11"/>
        <v>0.56999999999999995</v>
      </c>
    </row>
    <row r="74" spans="1:24" hidden="1" x14ac:dyDescent="0.25">
      <c r="A74" s="7" t="s">
        <v>23</v>
      </c>
      <c r="C74" s="4" t="s">
        <v>37</v>
      </c>
      <c r="D74" s="4" t="s">
        <v>0</v>
      </c>
      <c r="E74" s="4" t="s">
        <v>30</v>
      </c>
      <c r="F74" s="4" t="s">
        <v>31</v>
      </c>
      <c r="G74" s="8" t="str">
        <f t="shared" si="8"/>
        <v>19/03/2021</v>
      </c>
      <c r="H74" s="4" t="s">
        <v>1</v>
      </c>
      <c r="I74" s="4" t="s">
        <v>0</v>
      </c>
      <c r="J74" s="7" t="s">
        <v>178</v>
      </c>
      <c r="K74" s="7" t="s">
        <v>172</v>
      </c>
      <c r="L74" s="9" t="str">
        <f>+VLOOKUP(K74,'[1]BASE DE PROVEEDORES'!$A:$B,2,0)</f>
        <v>MANEJO INTEGRAL DE DESECHOS SOLIDOS SEM DE C.V.</v>
      </c>
      <c r="M74" s="10">
        <v>0</v>
      </c>
      <c r="N74" s="7" t="s">
        <v>2</v>
      </c>
      <c r="O74" s="7" t="s">
        <v>2</v>
      </c>
      <c r="P74" s="10">
        <v>53.35</v>
      </c>
      <c r="Q74" s="29" t="s">
        <v>2</v>
      </c>
      <c r="R74" s="32" t="s">
        <v>2</v>
      </c>
      <c r="S74" s="32" t="s">
        <v>2</v>
      </c>
      <c r="T74" s="29">
        <f t="shared" si="9"/>
        <v>6.9355000000000002</v>
      </c>
      <c r="U74" s="29">
        <f t="shared" si="10"/>
        <v>60.285499999999999</v>
      </c>
      <c r="V74" s="4" t="s">
        <v>3</v>
      </c>
      <c r="X74" s="3">
        <f t="shared" si="11"/>
        <v>6.94</v>
      </c>
    </row>
    <row r="75" spans="1:24" hidden="1" x14ac:dyDescent="0.25">
      <c r="A75" s="7" t="s">
        <v>23</v>
      </c>
      <c r="C75" s="4" t="s">
        <v>37</v>
      </c>
      <c r="D75" s="4" t="s">
        <v>0</v>
      </c>
      <c r="E75" s="4" t="s">
        <v>30</v>
      </c>
      <c r="F75" s="4" t="s">
        <v>31</v>
      </c>
      <c r="G75" s="8" t="str">
        <f t="shared" si="8"/>
        <v>19/03/2021</v>
      </c>
      <c r="H75" s="4" t="s">
        <v>1</v>
      </c>
      <c r="I75" s="4" t="s">
        <v>0</v>
      </c>
      <c r="J75" s="7" t="s">
        <v>201</v>
      </c>
      <c r="K75" s="7" t="s">
        <v>172</v>
      </c>
      <c r="L75" s="9" t="str">
        <f>+VLOOKUP(K75,'[1]BASE DE PROVEEDORES'!$A:$B,2,0)</f>
        <v>MANEJO INTEGRAL DE DESECHOS SOLIDOS SEM DE C.V.</v>
      </c>
      <c r="M75" s="10">
        <v>0</v>
      </c>
      <c r="N75" s="7" t="s">
        <v>2</v>
      </c>
      <c r="O75" s="7" t="s">
        <v>2</v>
      </c>
      <c r="P75" s="10">
        <v>66.38</v>
      </c>
      <c r="Q75" s="29" t="s">
        <v>2</v>
      </c>
      <c r="R75" s="32" t="s">
        <v>2</v>
      </c>
      <c r="S75" s="32" t="s">
        <v>2</v>
      </c>
      <c r="T75" s="29">
        <f t="shared" si="9"/>
        <v>8.6294000000000004</v>
      </c>
      <c r="U75" s="29">
        <f t="shared" si="10"/>
        <v>75.009399999999999</v>
      </c>
      <c r="V75" s="4" t="s">
        <v>3</v>
      </c>
      <c r="X75" s="3">
        <f t="shared" si="11"/>
        <v>8.6300000000000008</v>
      </c>
    </row>
    <row r="76" spans="1:24" hidden="1" x14ac:dyDescent="0.25">
      <c r="A76" s="7" t="s">
        <v>23</v>
      </c>
      <c r="C76" s="4" t="s">
        <v>89</v>
      </c>
      <c r="D76" s="4" t="s">
        <v>0</v>
      </c>
      <c r="E76" s="4" t="s">
        <v>30</v>
      </c>
      <c r="F76" s="4" t="s">
        <v>31</v>
      </c>
      <c r="G76" s="8" t="str">
        <f t="shared" si="8"/>
        <v>20/03/2021</v>
      </c>
      <c r="H76" s="4" t="s">
        <v>1</v>
      </c>
      <c r="I76" s="4" t="s">
        <v>0</v>
      </c>
      <c r="J76" s="7" t="s">
        <v>90</v>
      </c>
      <c r="K76" s="7" t="s">
        <v>28</v>
      </c>
      <c r="L76" s="9" t="str">
        <f>+VLOOKUP(K76,'[1]BASE DE PROVEEDORES'!$A:$B,2,0)</f>
        <v xml:space="preserve">ACTIVIDADES PETROLERAS DE EL SALVADOR S.A DE C.V </v>
      </c>
      <c r="M76" s="10">
        <v>9.36</v>
      </c>
      <c r="N76" s="7" t="s">
        <v>2</v>
      </c>
      <c r="O76" s="7" t="s">
        <v>2</v>
      </c>
      <c r="P76" s="10">
        <v>71.77</v>
      </c>
      <c r="Q76" s="29" t="s">
        <v>2</v>
      </c>
      <c r="R76" s="32" t="s">
        <v>2</v>
      </c>
      <c r="S76" s="32" t="s">
        <v>2</v>
      </c>
      <c r="T76" s="29">
        <f t="shared" si="9"/>
        <v>9.3300999999999998</v>
      </c>
      <c r="U76" s="29">
        <f t="shared" si="10"/>
        <v>90.460099999999997</v>
      </c>
      <c r="V76" s="4" t="s">
        <v>3</v>
      </c>
      <c r="X76" s="3">
        <f t="shared" si="11"/>
        <v>9.33</v>
      </c>
    </row>
    <row r="77" spans="1:24" hidden="1" x14ac:dyDescent="0.25">
      <c r="A77" s="7" t="s">
        <v>23</v>
      </c>
      <c r="C77" s="4" t="s">
        <v>89</v>
      </c>
      <c r="D77" s="4" t="s">
        <v>0</v>
      </c>
      <c r="E77" s="4" t="s">
        <v>30</v>
      </c>
      <c r="F77" s="4" t="s">
        <v>31</v>
      </c>
      <c r="G77" s="8" t="str">
        <f t="shared" si="8"/>
        <v>20/03/2021</v>
      </c>
      <c r="H77" s="4" t="s">
        <v>1</v>
      </c>
      <c r="I77" s="4" t="s">
        <v>0</v>
      </c>
      <c r="J77" s="7" t="s">
        <v>91</v>
      </c>
      <c r="K77" s="7" t="s">
        <v>28</v>
      </c>
      <c r="L77" s="9" t="str">
        <f>+VLOOKUP(K77,'[1]BASE DE PROVEEDORES'!$A:$B,2,0)</f>
        <v xml:space="preserve">ACTIVIDADES PETROLERAS DE EL SALVADOR S.A DE C.V </v>
      </c>
      <c r="M77" s="10">
        <v>9.19</v>
      </c>
      <c r="N77" s="7" t="s">
        <v>2</v>
      </c>
      <c r="O77" s="7" t="s">
        <v>2</v>
      </c>
      <c r="P77" s="10">
        <v>70.510000000000005</v>
      </c>
      <c r="Q77" s="29" t="s">
        <v>2</v>
      </c>
      <c r="R77" s="32" t="s">
        <v>2</v>
      </c>
      <c r="S77" s="32" t="s">
        <v>2</v>
      </c>
      <c r="T77" s="29">
        <f t="shared" si="9"/>
        <v>9.1663000000000014</v>
      </c>
      <c r="U77" s="29">
        <f t="shared" si="10"/>
        <v>88.86630000000001</v>
      </c>
      <c r="V77" s="4" t="s">
        <v>3</v>
      </c>
      <c r="X77" s="3">
        <f t="shared" si="11"/>
        <v>9.17</v>
      </c>
    </row>
    <row r="78" spans="1:24" hidden="1" x14ac:dyDescent="0.25">
      <c r="A78" s="7" t="s">
        <v>23</v>
      </c>
      <c r="C78" s="4" t="s">
        <v>89</v>
      </c>
      <c r="D78" s="4" t="s">
        <v>0</v>
      </c>
      <c r="E78" s="4" t="s">
        <v>30</v>
      </c>
      <c r="F78" s="4" t="s">
        <v>31</v>
      </c>
      <c r="G78" s="8" t="str">
        <f t="shared" si="8"/>
        <v>20/03/2021</v>
      </c>
      <c r="H78" s="4" t="s">
        <v>1</v>
      </c>
      <c r="I78" s="4" t="s">
        <v>0</v>
      </c>
      <c r="J78" s="7" t="s">
        <v>92</v>
      </c>
      <c r="K78" s="7" t="s">
        <v>28</v>
      </c>
      <c r="L78" s="9" t="str">
        <f>+VLOOKUP(K78,'[1]BASE DE PROVEEDORES'!$A:$B,2,0)</f>
        <v xml:space="preserve">ACTIVIDADES PETROLERAS DE EL SALVADOR S.A DE C.V </v>
      </c>
      <c r="M78" s="10">
        <v>3.93</v>
      </c>
      <c r="N78" s="7" t="s">
        <v>2</v>
      </c>
      <c r="O78" s="7" t="s">
        <v>2</v>
      </c>
      <c r="P78" s="10">
        <v>30.2</v>
      </c>
      <c r="Q78" s="29" t="s">
        <v>2</v>
      </c>
      <c r="R78" s="32" t="s">
        <v>2</v>
      </c>
      <c r="S78" s="32" t="s">
        <v>2</v>
      </c>
      <c r="T78" s="29">
        <f t="shared" si="9"/>
        <v>3.9260000000000002</v>
      </c>
      <c r="U78" s="29">
        <f t="shared" si="10"/>
        <v>38.056000000000004</v>
      </c>
      <c r="V78" s="4" t="s">
        <v>3</v>
      </c>
      <c r="X78" s="3">
        <f t="shared" si="11"/>
        <v>3.93</v>
      </c>
    </row>
    <row r="79" spans="1:24" hidden="1" x14ac:dyDescent="0.25">
      <c r="A79" s="7" t="s">
        <v>23</v>
      </c>
      <c r="C79" s="4" t="s">
        <v>89</v>
      </c>
      <c r="D79" s="4" t="s">
        <v>0</v>
      </c>
      <c r="E79" s="4" t="s">
        <v>30</v>
      </c>
      <c r="F79" s="4" t="s">
        <v>31</v>
      </c>
      <c r="G79" s="8" t="str">
        <f t="shared" si="8"/>
        <v>20/03/2021</v>
      </c>
      <c r="H79" s="4" t="s">
        <v>1</v>
      </c>
      <c r="I79" s="4" t="s">
        <v>0</v>
      </c>
      <c r="J79" s="7" t="s">
        <v>190</v>
      </c>
      <c r="K79" s="7" t="s">
        <v>172</v>
      </c>
      <c r="L79" s="9" t="str">
        <f>+VLOOKUP(K79,'[1]BASE DE PROVEEDORES'!$A:$B,2,0)</f>
        <v>MANEJO INTEGRAL DE DESECHOS SOLIDOS SEM DE C.V.</v>
      </c>
      <c r="M79" s="10">
        <v>0</v>
      </c>
      <c r="N79" s="7" t="s">
        <v>2</v>
      </c>
      <c r="O79" s="7" t="s">
        <v>2</v>
      </c>
      <c r="P79" s="10">
        <v>38.75</v>
      </c>
      <c r="Q79" s="29" t="s">
        <v>2</v>
      </c>
      <c r="R79" s="32" t="s">
        <v>2</v>
      </c>
      <c r="S79" s="32" t="s">
        <v>2</v>
      </c>
      <c r="T79" s="29">
        <f t="shared" si="9"/>
        <v>5.0375000000000005</v>
      </c>
      <c r="U79" s="29">
        <f t="shared" si="10"/>
        <v>43.787500000000001</v>
      </c>
      <c r="V79" s="4" t="s">
        <v>3</v>
      </c>
      <c r="X79" s="3">
        <f t="shared" si="11"/>
        <v>5.04</v>
      </c>
    </row>
    <row r="80" spans="1:24" hidden="1" x14ac:dyDescent="0.25">
      <c r="A80" s="7" t="s">
        <v>23</v>
      </c>
      <c r="C80" s="4" t="s">
        <v>77</v>
      </c>
      <c r="D80" s="4" t="s">
        <v>0</v>
      </c>
      <c r="E80" s="4" t="s">
        <v>30</v>
      </c>
      <c r="F80" s="4" t="s">
        <v>31</v>
      </c>
      <c r="G80" s="8" t="str">
        <f t="shared" si="8"/>
        <v>21/03/2021</v>
      </c>
      <c r="H80" s="4" t="s">
        <v>1</v>
      </c>
      <c r="I80" s="4" t="s">
        <v>0</v>
      </c>
      <c r="J80" s="7" t="s">
        <v>78</v>
      </c>
      <c r="K80" s="7" t="s">
        <v>45</v>
      </c>
      <c r="L80" s="9" t="str">
        <f>+VLOOKUP(K80,'[1]BASE DE PROVEEDORES'!$A:$B,2,0)</f>
        <v>JOSE RICARDO ANTONIO MOLINA</v>
      </c>
      <c r="M80" s="10">
        <v>9.32</v>
      </c>
      <c r="N80" s="7" t="s">
        <v>2</v>
      </c>
      <c r="O80" s="7" t="s">
        <v>2</v>
      </c>
      <c r="P80" s="10">
        <v>71.400000000000006</v>
      </c>
      <c r="Q80" s="29" t="s">
        <v>2</v>
      </c>
      <c r="R80" s="32" t="s">
        <v>2</v>
      </c>
      <c r="S80" s="32" t="s">
        <v>2</v>
      </c>
      <c r="T80" s="29">
        <f t="shared" si="9"/>
        <v>9.2820000000000018</v>
      </c>
      <c r="U80" s="29">
        <f t="shared" si="10"/>
        <v>90.001999999999995</v>
      </c>
      <c r="V80" s="4" t="s">
        <v>3</v>
      </c>
      <c r="X80" s="3">
        <f t="shared" si="11"/>
        <v>9.2799999999999994</v>
      </c>
    </row>
    <row r="81" spans="1:24" hidden="1" x14ac:dyDescent="0.25">
      <c r="A81" s="7" t="s">
        <v>23</v>
      </c>
      <c r="C81" s="4" t="s">
        <v>36</v>
      </c>
      <c r="D81" s="4" t="s">
        <v>0</v>
      </c>
      <c r="E81" s="4" t="s">
        <v>30</v>
      </c>
      <c r="F81" s="4" t="s">
        <v>31</v>
      </c>
      <c r="G81" s="8" t="str">
        <f t="shared" si="8"/>
        <v>22/03/2021</v>
      </c>
      <c r="H81" s="4" t="s">
        <v>1</v>
      </c>
      <c r="I81" s="4" t="s">
        <v>0</v>
      </c>
      <c r="J81" s="7" t="s">
        <v>76</v>
      </c>
      <c r="K81" s="7" t="s">
        <v>45</v>
      </c>
      <c r="L81" s="9" t="str">
        <f>+VLOOKUP(K81,'[1]BASE DE PROVEEDORES'!$A:$B,2,0)</f>
        <v>JOSE RICARDO ANTONIO MOLINA</v>
      </c>
      <c r="M81" s="10">
        <v>2.17</v>
      </c>
      <c r="N81" s="7" t="s">
        <v>2</v>
      </c>
      <c r="O81" s="7" t="s">
        <v>2</v>
      </c>
      <c r="P81" s="10">
        <v>16.66</v>
      </c>
      <c r="Q81" s="29" t="s">
        <v>2</v>
      </c>
      <c r="R81" s="32" t="s">
        <v>2</v>
      </c>
      <c r="S81" s="32" t="s">
        <v>2</v>
      </c>
      <c r="T81" s="29">
        <f t="shared" si="9"/>
        <v>2.1657999999999999</v>
      </c>
      <c r="U81" s="29">
        <f t="shared" si="10"/>
        <v>20.995799999999999</v>
      </c>
      <c r="V81" s="4" t="s">
        <v>3</v>
      </c>
      <c r="X81" s="3">
        <f t="shared" si="11"/>
        <v>2.17</v>
      </c>
    </row>
    <row r="82" spans="1:24" hidden="1" x14ac:dyDescent="0.25">
      <c r="A82" s="7" t="s">
        <v>23</v>
      </c>
      <c r="C82" s="4" t="s">
        <v>36</v>
      </c>
      <c r="D82" s="4" t="s">
        <v>0</v>
      </c>
      <c r="E82" s="4" t="s">
        <v>30</v>
      </c>
      <c r="F82" s="4" t="s">
        <v>31</v>
      </c>
      <c r="G82" s="8" t="str">
        <f t="shared" si="8"/>
        <v>22/03/2021</v>
      </c>
      <c r="H82" s="4" t="s">
        <v>1</v>
      </c>
      <c r="I82" s="4" t="s">
        <v>0</v>
      </c>
      <c r="J82" s="7" t="s">
        <v>142</v>
      </c>
      <c r="K82" s="7" t="s">
        <v>143</v>
      </c>
      <c r="L82" s="9" t="str">
        <f>+VLOOKUP(K82,'[1]BASE DE PROVEEDORES'!$A:$B,2,0)</f>
        <v>BENJAMIN ALFREDO ABARCA</v>
      </c>
      <c r="M82" s="10">
        <v>0</v>
      </c>
      <c r="N82" s="7" t="s">
        <v>2</v>
      </c>
      <c r="O82" s="7" t="s">
        <v>2</v>
      </c>
      <c r="P82" s="10">
        <v>100</v>
      </c>
      <c r="Q82" s="29" t="s">
        <v>2</v>
      </c>
      <c r="R82" s="32" t="s">
        <v>2</v>
      </c>
      <c r="S82" s="32" t="s">
        <v>2</v>
      </c>
      <c r="T82" s="29">
        <f t="shared" si="9"/>
        <v>13</v>
      </c>
      <c r="U82" s="29">
        <f t="shared" si="10"/>
        <v>113</v>
      </c>
      <c r="V82" s="4" t="s">
        <v>3</v>
      </c>
      <c r="X82" s="3">
        <f t="shared" si="11"/>
        <v>13</v>
      </c>
    </row>
    <row r="83" spans="1:24" hidden="1" x14ac:dyDescent="0.25">
      <c r="A83" s="7" t="s">
        <v>23</v>
      </c>
      <c r="C83" s="4" t="s">
        <v>36</v>
      </c>
      <c r="D83" s="4" t="s">
        <v>0</v>
      </c>
      <c r="E83" s="4" t="s">
        <v>30</v>
      </c>
      <c r="F83" s="4" t="s">
        <v>31</v>
      </c>
      <c r="G83" s="8" t="str">
        <f t="shared" si="8"/>
        <v>22/03/2021</v>
      </c>
      <c r="H83" s="4" t="s">
        <v>1</v>
      </c>
      <c r="I83" s="4" t="s">
        <v>0</v>
      </c>
      <c r="J83" s="7" t="s">
        <v>147</v>
      </c>
      <c r="K83" s="7" t="s">
        <v>126</v>
      </c>
      <c r="L83" s="9" t="str">
        <f>+VLOOKUP(K83,'[1]BASE DE PROVEEDORES'!$A:$B,2,0)</f>
        <v>REPUESTOS IZALCO S.A DE C.V.</v>
      </c>
      <c r="M83" s="10">
        <v>0</v>
      </c>
      <c r="N83" s="7" t="s">
        <v>2</v>
      </c>
      <c r="O83" s="7" t="s">
        <v>2</v>
      </c>
      <c r="P83" s="10">
        <v>23.4</v>
      </c>
      <c r="Q83" s="29" t="s">
        <v>2</v>
      </c>
      <c r="R83" s="32" t="s">
        <v>2</v>
      </c>
      <c r="S83" s="32" t="s">
        <v>2</v>
      </c>
      <c r="T83" s="29">
        <f t="shared" si="9"/>
        <v>3.0419999999999998</v>
      </c>
      <c r="U83" s="29">
        <f t="shared" si="10"/>
        <v>26.442</v>
      </c>
      <c r="V83" s="4" t="s">
        <v>3</v>
      </c>
      <c r="X83" s="3">
        <f t="shared" si="11"/>
        <v>3.04</v>
      </c>
    </row>
    <row r="84" spans="1:24" hidden="1" x14ac:dyDescent="0.25">
      <c r="A84" s="7" t="s">
        <v>23</v>
      </c>
      <c r="C84" s="4" t="s">
        <v>36</v>
      </c>
      <c r="D84" s="4" t="s">
        <v>0</v>
      </c>
      <c r="E84" s="4" t="s">
        <v>30</v>
      </c>
      <c r="F84" s="4" t="s">
        <v>31</v>
      </c>
      <c r="G84" s="8" t="str">
        <f t="shared" si="8"/>
        <v>22/03/2021</v>
      </c>
      <c r="H84" s="4" t="s">
        <v>1</v>
      </c>
      <c r="I84" s="4" t="s">
        <v>0</v>
      </c>
      <c r="J84" s="7" t="s">
        <v>148</v>
      </c>
      <c r="K84" s="7" t="s">
        <v>149</v>
      </c>
      <c r="L84" s="9" t="str">
        <f>+VLOOKUP(K84,'[1]BASE DE PROVEEDORES'!$A:$B,2,0)</f>
        <v>TRANPORTES PESADOS S.A DE C.V.</v>
      </c>
      <c r="M84" s="10">
        <v>0</v>
      </c>
      <c r="N84" s="7" t="s">
        <v>2</v>
      </c>
      <c r="O84" s="7" t="s">
        <v>2</v>
      </c>
      <c r="P84" s="10">
        <v>41.04</v>
      </c>
      <c r="Q84" s="29" t="s">
        <v>2</v>
      </c>
      <c r="R84" s="32" t="s">
        <v>2</v>
      </c>
      <c r="S84" s="32" t="s">
        <v>2</v>
      </c>
      <c r="T84" s="29">
        <f t="shared" si="9"/>
        <v>5.3352000000000004</v>
      </c>
      <c r="U84" s="29">
        <f t="shared" si="10"/>
        <v>46.3752</v>
      </c>
      <c r="V84" s="4" t="s">
        <v>3</v>
      </c>
      <c r="X84" s="3">
        <f t="shared" si="11"/>
        <v>5.34</v>
      </c>
    </row>
    <row r="85" spans="1:24" hidden="1" x14ac:dyDescent="0.25">
      <c r="A85" s="7" t="s">
        <v>23</v>
      </c>
      <c r="C85" s="4" t="s">
        <v>36</v>
      </c>
      <c r="D85" s="4" t="s">
        <v>0</v>
      </c>
      <c r="E85" s="4" t="s">
        <v>30</v>
      </c>
      <c r="F85" s="4" t="s">
        <v>31</v>
      </c>
      <c r="G85" s="8" t="str">
        <f t="shared" si="8"/>
        <v>22/03/2021</v>
      </c>
      <c r="H85" s="4" t="s">
        <v>1</v>
      </c>
      <c r="I85" s="4" t="s">
        <v>0</v>
      </c>
      <c r="J85" s="7" t="s">
        <v>156</v>
      </c>
      <c r="K85" s="7" t="s">
        <v>157</v>
      </c>
      <c r="L85" s="9" t="str">
        <f>+VLOOKUP(K85,'[1]BASE DE PROVEEDORES'!$A:$B,2,0)</f>
        <v>DISTRIBUIDORA PAREDES VELA S.A DE C.V.</v>
      </c>
      <c r="M85" s="10">
        <v>0</v>
      </c>
      <c r="N85" s="7" t="s">
        <v>2</v>
      </c>
      <c r="O85" s="7" t="s">
        <v>2</v>
      </c>
      <c r="P85" s="10">
        <v>28</v>
      </c>
      <c r="Q85" s="29" t="s">
        <v>2</v>
      </c>
      <c r="R85" s="32" t="s">
        <v>2</v>
      </c>
      <c r="S85" s="32" t="s">
        <v>2</v>
      </c>
      <c r="T85" s="29">
        <f t="shared" si="9"/>
        <v>3.64</v>
      </c>
      <c r="U85" s="29">
        <f t="shared" si="10"/>
        <v>31.64</v>
      </c>
      <c r="V85" s="4" t="s">
        <v>3</v>
      </c>
      <c r="X85" s="3">
        <f t="shared" si="11"/>
        <v>3.64</v>
      </c>
    </row>
    <row r="86" spans="1:24" hidden="1" x14ac:dyDescent="0.25">
      <c r="A86" s="7" t="s">
        <v>23</v>
      </c>
      <c r="C86" s="4" t="s">
        <v>36</v>
      </c>
      <c r="D86" s="4" t="s">
        <v>0</v>
      </c>
      <c r="E86" s="4" t="s">
        <v>30</v>
      </c>
      <c r="F86" s="4" t="s">
        <v>31</v>
      </c>
      <c r="G86" s="8" t="str">
        <f t="shared" si="8"/>
        <v>22/03/2021</v>
      </c>
      <c r="H86" s="4" t="s">
        <v>1</v>
      </c>
      <c r="I86" s="4" t="s">
        <v>0</v>
      </c>
      <c r="J86" s="7" t="s">
        <v>159</v>
      </c>
      <c r="K86" s="7" t="s">
        <v>151</v>
      </c>
      <c r="L86" s="9" t="str">
        <f>+VLOOKUP(K86,'[1]BASE DE PROVEEDORES'!$A:$B,2,0)</f>
        <v>REPUESTOS NOE S.A DE C.V.</v>
      </c>
      <c r="M86" s="10">
        <v>0</v>
      </c>
      <c r="N86" s="7" t="s">
        <v>2</v>
      </c>
      <c r="O86" s="7" t="s">
        <v>2</v>
      </c>
      <c r="P86" s="10">
        <v>84</v>
      </c>
      <c r="Q86" s="29" t="s">
        <v>2</v>
      </c>
      <c r="R86" s="32" t="s">
        <v>2</v>
      </c>
      <c r="S86" s="32" t="s">
        <v>2</v>
      </c>
      <c r="T86" s="29">
        <f t="shared" si="9"/>
        <v>10.92</v>
      </c>
      <c r="U86" s="29">
        <f t="shared" si="10"/>
        <v>94.92</v>
      </c>
      <c r="V86" s="4" t="s">
        <v>3</v>
      </c>
      <c r="X86" s="3">
        <f t="shared" si="11"/>
        <v>10.92</v>
      </c>
    </row>
    <row r="87" spans="1:24" hidden="1" x14ac:dyDescent="0.25">
      <c r="A87" s="7" t="s">
        <v>23</v>
      </c>
      <c r="C87" s="4" t="s">
        <v>36</v>
      </c>
      <c r="D87" s="4" t="s">
        <v>0</v>
      </c>
      <c r="E87" s="4" t="s">
        <v>30</v>
      </c>
      <c r="F87" s="4" t="s">
        <v>31</v>
      </c>
      <c r="G87" s="8" t="str">
        <f t="shared" si="8"/>
        <v>22/03/2021</v>
      </c>
      <c r="H87" s="4" t="s">
        <v>1</v>
      </c>
      <c r="I87" s="4" t="s">
        <v>0</v>
      </c>
      <c r="J87" s="7" t="s">
        <v>197</v>
      </c>
      <c r="K87" s="7" t="s">
        <v>172</v>
      </c>
      <c r="L87" s="9" t="str">
        <f>+VLOOKUP(K87,'[1]BASE DE PROVEEDORES'!$A:$B,2,0)</f>
        <v>MANEJO INTEGRAL DE DESECHOS SOLIDOS SEM DE C.V.</v>
      </c>
      <c r="M87" s="10">
        <v>0</v>
      </c>
      <c r="N87" s="7" t="s">
        <v>2</v>
      </c>
      <c r="O87" s="7" t="s">
        <v>2</v>
      </c>
      <c r="P87" s="10">
        <v>56.26</v>
      </c>
      <c r="Q87" s="29" t="s">
        <v>2</v>
      </c>
      <c r="R87" s="32" t="s">
        <v>2</v>
      </c>
      <c r="S87" s="32" t="s">
        <v>2</v>
      </c>
      <c r="T87" s="29">
        <f t="shared" si="9"/>
        <v>7.3137999999999996</v>
      </c>
      <c r="U87" s="29">
        <f t="shared" si="10"/>
        <v>63.573799999999999</v>
      </c>
      <c r="V87" s="4" t="s">
        <v>3</v>
      </c>
      <c r="X87" s="3">
        <f t="shared" si="11"/>
        <v>7.31</v>
      </c>
    </row>
    <row r="88" spans="1:24" hidden="1" x14ac:dyDescent="0.25">
      <c r="A88" s="7" t="s">
        <v>23</v>
      </c>
      <c r="C88" s="4" t="s">
        <v>36</v>
      </c>
      <c r="D88" s="4" t="s">
        <v>0</v>
      </c>
      <c r="E88" s="4" t="s">
        <v>30</v>
      </c>
      <c r="F88" s="4" t="s">
        <v>31</v>
      </c>
      <c r="G88" s="8" t="str">
        <f t="shared" si="8"/>
        <v>22/03/2021</v>
      </c>
      <c r="H88" s="4" t="s">
        <v>1</v>
      </c>
      <c r="I88" s="4" t="s">
        <v>0</v>
      </c>
      <c r="J88" s="7" t="s">
        <v>202</v>
      </c>
      <c r="K88" s="7" t="s">
        <v>172</v>
      </c>
      <c r="L88" s="9" t="str">
        <f>+VLOOKUP(K88,'[1]BASE DE PROVEEDORES'!$A:$B,2,0)</f>
        <v>MANEJO INTEGRAL DE DESECHOS SOLIDOS SEM DE C.V.</v>
      </c>
      <c r="M88" s="10">
        <v>0</v>
      </c>
      <c r="N88" s="7" t="s">
        <v>2</v>
      </c>
      <c r="O88" s="7" t="s">
        <v>2</v>
      </c>
      <c r="P88" s="10">
        <v>56.26</v>
      </c>
      <c r="Q88" s="29" t="s">
        <v>2</v>
      </c>
      <c r="R88" s="32" t="s">
        <v>2</v>
      </c>
      <c r="S88" s="32" t="s">
        <v>2</v>
      </c>
      <c r="T88" s="29">
        <f t="shared" si="9"/>
        <v>7.3137999999999996</v>
      </c>
      <c r="U88" s="29">
        <f t="shared" si="10"/>
        <v>63.573799999999999</v>
      </c>
      <c r="V88" s="4" t="s">
        <v>3</v>
      </c>
      <c r="X88" s="3">
        <f t="shared" si="11"/>
        <v>7.31</v>
      </c>
    </row>
    <row r="89" spans="1:24" hidden="1" x14ac:dyDescent="0.25">
      <c r="A89" s="7" t="s">
        <v>23</v>
      </c>
      <c r="C89" s="4" t="s">
        <v>41</v>
      </c>
      <c r="D89" s="4" t="s">
        <v>0</v>
      </c>
      <c r="E89" s="4" t="s">
        <v>30</v>
      </c>
      <c r="F89" s="4" t="s">
        <v>31</v>
      </c>
      <c r="G89" s="8" t="str">
        <f t="shared" si="8"/>
        <v>23/03/2021</v>
      </c>
      <c r="H89" s="4" t="s">
        <v>1</v>
      </c>
      <c r="I89" s="4" t="s">
        <v>0</v>
      </c>
      <c r="J89" s="7" t="s">
        <v>75</v>
      </c>
      <c r="K89" s="7" t="s">
        <v>45</v>
      </c>
      <c r="L89" s="9" t="str">
        <f>+VLOOKUP(K89,'[1]BASE DE PROVEEDORES'!$A:$B,2,0)</f>
        <v>JOSE RICARDO ANTONIO MOLINA</v>
      </c>
      <c r="M89" s="10">
        <v>12.43</v>
      </c>
      <c r="N89" s="7" t="s">
        <v>2</v>
      </c>
      <c r="O89" s="7" t="s">
        <v>2</v>
      </c>
      <c r="P89" s="10">
        <v>98.21</v>
      </c>
      <c r="Q89" s="29" t="s">
        <v>2</v>
      </c>
      <c r="R89" s="32" t="s">
        <v>2</v>
      </c>
      <c r="S89" s="32" t="s">
        <v>2</v>
      </c>
      <c r="T89" s="29">
        <f t="shared" si="9"/>
        <v>12.767299999999999</v>
      </c>
      <c r="U89" s="29">
        <f t="shared" si="10"/>
        <v>123.40729999999999</v>
      </c>
      <c r="V89" s="4" t="s">
        <v>3</v>
      </c>
      <c r="X89" s="3">
        <f t="shared" si="11"/>
        <v>12.77</v>
      </c>
    </row>
    <row r="90" spans="1:24" hidden="1" x14ac:dyDescent="0.25">
      <c r="A90" s="7" t="s">
        <v>23</v>
      </c>
      <c r="C90" s="4" t="s">
        <v>41</v>
      </c>
      <c r="D90" s="4" t="s">
        <v>0</v>
      </c>
      <c r="E90" s="4" t="s">
        <v>30</v>
      </c>
      <c r="F90" s="4" t="s">
        <v>31</v>
      </c>
      <c r="G90" s="8" t="str">
        <f t="shared" si="8"/>
        <v>23/03/2021</v>
      </c>
      <c r="H90" s="4" t="s">
        <v>1</v>
      </c>
      <c r="I90" s="4" t="s">
        <v>0</v>
      </c>
      <c r="J90" s="7" t="s">
        <v>88</v>
      </c>
      <c r="K90" s="7" t="s">
        <v>28</v>
      </c>
      <c r="L90" s="9" t="str">
        <f>+VLOOKUP(K90,'[1]BASE DE PROVEEDORES'!$A:$B,2,0)</f>
        <v xml:space="preserve">ACTIVIDADES PETROLERAS DE EL SALVADOR S.A DE C.V </v>
      </c>
      <c r="M90" s="10">
        <v>4.0999999999999996</v>
      </c>
      <c r="N90" s="7" t="s">
        <v>2</v>
      </c>
      <c r="O90" s="7" t="s">
        <v>2</v>
      </c>
      <c r="P90" s="10">
        <v>32.36</v>
      </c>
      <c r="Q90" s="29" t="s">
        <v>2</v>
      </c>
      <c r="R90" s="32" t="s">
        <v>2</v>
      </c>
      <c r="S90" s="32" t="s">
        <v>2</v>
      </c>
      <c r="T90" s="29">
        <f t="shared" si="9"/>
        <v>4.2068000000000003</v>
      </c>
      <c r="U90" s="29">
        <f t="shared" si="10"/>
        <v>40.666800000000002</v>
      </c>
      <c r="V90" s="4" t="s">
        <v>3</v>
      </c>
      <c r="X90" s="3">
        <f t="shared" si="11"/>
        <v>4.21</v>
      </c>
    </row>
    <row r="91" spans="1:24" hidden="1" x14ac:dyDescent="0.25">
      <c r="A91" s="7" t="s">
        <v>23</v>
      </c>
      <c r="C91" s="4" t="s">
        <v>41</v>
      </c>
      <c r="D91" s="4" t="s">
        <v>0</v>
      </c>
      <c r="E91" s="4" t="s">
        <v>30</v>
      </c>
      <c r="F91" s="4" t="s">
        <v>31</v>
      </c>
      <c r="G91" s="8" t="str">
        <f t="shared" si="8"/>
        <v>23/03/2021</v>
      </c>
      <c r="H91" s="4" t="s">
        <v>1</v>
      </c>
      <c r="I91" s="4" t="s">
        <v>0</v>
      </c>
      <c r="J91" s="7" t="s">
        <v>179</v>
      </c>
      <c r="K91" s="7" t="s">
        <v>172</v>
      </c>
      <c r="L91" s="9" t="str">
        <f>+VLOOKUP(K91,'[1]BASE DE PROVEEDORES'!$A:$B,2,0)</f>
        <v>MANEJO INTEGRAL DE DESECHOS SOLIDOS SEM DE C.V.</v>
      </c>
      <c r="M91" s="10">
        <v>0</v>
      </c>
      <c r="N91" s="7" t="s">
        <v>2</v>
      </c>
      <c r="O91" s="7" t="s">
        <v>2</v>
      </c>
      <c r="P91" s="10">
        <v>54.47</v>
      </c>
      <c r="Q91" s="29" t="s">
        <v>2</v>
      </c>
      <c r="R91" s="32" t="s">
        <v>2</v>
      </c>
      <c r="S91" s="32" t="s">
        <v>2</v>
      </c>
      <c r="T91" s="29">
        <f t="shared" si="9"/>
        <v>7.0811000000000002</v>
      </c>
      <c r="U91" s="29">
        <f t="shared" si="10"/>
        <v>61.551099999999998</v>
      </c>
      <c r="V91" s="4" t="s">
        <v>3</v>
      </c>
      <c r="X91" s="3">
        <f t="shared" si="11"/>
        <v>7.08</v>
      </c>
    </row>
    <row r="92" spans="1:24" hidden="1" x14ac:dyDescent="0.25">
      <c r="A92" s="7" t="s">
        <v>23</v>
      </c>
      <c r="C92" s="4" t="s">
        <v>41</v>
      </c>
      <c r="D92" s="4" t="s">
        <v>0</v>
      </c>
      <c r="E92" s="4" t="s">
        <v>30</v>
      </c>
      <c r="F92" s="4" t="s">
        <v>31</v>
      </c>
      <c r="G92" s="8" t="str">
        <f t="shared" si="8"/>
        <v>23/03/2021</v>
      </c>
      <c r="H92" s="4" t="s">
        <v>1</v>
      </c>
      <c r="I92" s="4" t="s">
        <v>0</v>
      </c>
      <c r="J92" s="7" t="s">
        <v>191</v>
      </c>
      <c r="K92" s="7" t="s">
        <v>172</v>
      </c>
      <c r="L92" s="9" t="str">
        <f>+VLOOKUP(K92,'[1]BASE DE PROVEEDORES'!$A:$B,2,0)</f>
        <v>MANEJO INTEGRAL DE DESECHOS SOLIDOS SEM DE C.V.</v>
      </c>
      <c r="M92" s="10">
        <v>0</v>
      </c>
      <c r="N92" s="7" t="s">
        <v>2</v>
      </c>
      <c r="O92" s="7" t="s">
        <v>2</v>
      </c>
      <c r="P92" s="10">
        <v>74.13</v>
      </c>
      <c r="Q92" s="29" t="s">
        <v>2</v>
      </c>
      <c r="R92" s="32" t="s">
        <v>2</v>
      </c>
      <c r="S92" s="32" t="s">
        <v>2</v>
      </c>
      <c r="T92" s="29">
        <f t="shared" si="9"/>
        <v>9.6368999999999989</v>
      </c>
      <c r="U92" s="29">
        <f t="shared" si="10"/>
        <v>83.766899999999993</v>
      </c>
      <c r="V92" s="4" t="s">
        <v>3</v>
      </c>
      <c r="X92" s="3">
        <f t="shared" si="11"/>
        <v>9.64</v>
      </c>
    </row>
    <row r="93" spans="1:24" hidden="1" x14ac:dyDescent="0.25">
      <c r="A93" s="7" t="s">
        <v>23</v>
      </c>
      <c r="C93" s="4" t="s">
        <v>73</v>
      </c>
      <c r="D93" s="4" t="s">
        <v>0</v>
      </c>
      <c r="E93" s="4" t="s">
        <v>30</v>
      </c>
      <c r="F93" s="4" t="s">
        <v>31</v>
      </c>
      <c r="G93" s="8" t="str">
        <f t="shared" si="8"/>
        <v>24/03/2021</v>
      </c>
      <c r="H93" s="4" t="s">
        <v>1</v>
      </c>
      <c r="I93" s="4" t="s">
        <v>0</v>
      </c>
      <c r="J93" s="7" t="s">
        <v>74</v>
      </c>
      <c r="K93" s="7" t="s">
        <v>45</v>
      </c>
      <c r="L93" s="9" t="str">
        <f>+VLOOKUP(K93,'[1]BASE DE PROVEEDORES'!$A:$B,2,0)</f>
        <v>JOSE RICARDO ANTONIO MOLINA</v>
      </c>
      <c r="M93" s="10">
        <v>11.88</v>
      </c>
      <c r="N93" s="7" t="s">
        <v>2</v>
      </c>
      <c r="O93" s="7" t="s">
        <v>2</v>
      </c>
      <c r="P93" s="10">
        <v>93.85</v>
      </c>
      <c r="Q93" s="29" t="s">
        <v>2</v>
      </c>
      <c r="R93" s="32" t="s">
        <v>2</v>
      </c>
      <c r="S93" s="32" t="s">
        <v>2</v>
      </c>
      <c r="T93" s="29">
        <f t="shared" si="9"/>
        <v>12.2005</v>
      </c>
      <c r="U93" s="29">
        <f t="shared" si="10"/>
        <v>117.93049999999999</v>
      </c>
      <c r="V93" s="4" t="s">
        <v>3</v>
      </c>
      <c r="X93" s="3">
        <f t="shared" si="11"/>
        <v>12.2</v>
      </c>
    </row>
    <row r="94" spans="1:24" hidden="1" x14ac:dyDescent="0.25">
      <c r="A94" s="7" t="s">
        <v>23</v>
      </c>
      <c r="C94" s="4" t="s">
        <v>73</v>
      </c>
      <c r="D94" s="4" t="s">
        <v>0</v>
      </c>
      <c r="E94" s="4" t="s">
        <v>30</v>
      </c>
      <c r="F94" s="4" t="s">
        <v>31</v>
      </c>
      <c r="G94" s="8" t="str">
        <f t="shared" si="8"/>
        <v>24/03/2021</v>
      </c>
      <c r="H94" s="4" t="s">
        <v>1</v>
      </c>
      <c r="I94" s="4" t="s">
        <v>0</v>
      </c>
      <c r="J94" s="7" t="s">
        <v>153</v>
      </c>
      <c r="K94" s="7" t="s">
        <v>154</v>
      </c>
      <c r="L94" s="9" t="str">
        <f>+VLOOKUP(K94,'[1]BASE DE PROVEEDORES'!$A:$B,2,0)</f>
        <v>CAMPOS ESCOBAR S.A DE C.V.</v>
      </c>
      <c r="M94" s="10">
        <v>0</v>
      </c>
      <c r="N94" s="7" t="s">
        <v>2</v>
      </c>
      <c r="O94" s="7" t="s">
        <v>2</v>
      </c>
      <c r="P94" s="10">
        <v>239.96</v>
      </c>
      <c r="Q94" s="29" t="s">
        <v>2</v>
      </c>
      <c r="R94" s="32" t="s">
        <v>2</v>
      </c>
      <c r="S94" s="32" t="s">
        <v>2</v>
      </c>
      <c r="T94" s="29">
        <f t="shared" si="9"/>
        <v>31.194800000000001</v>
      </c>
      <c r="U94" s="29">
        <f t="shared" si="10"/>
        <v>271.15480000000002</v>
      </c>
      <c r="V94" s="4" t="s">
        <v>3</v>
      </c>
      <c r="X94" s="3">
        <f t="shared" si="11"/>
        <v>31.19</v>
      </c>
    </row>
    <row r="95" spans="1:24" hidden="1" x14ac:dyDescent="0.25">
      <c r="A95" s="7" t="s">
        <v>23</v>
      </c>
      <c r="C95" s="4" t="s">
        <v>73</v>
      </c>
      <c r="D95" s="4" t="s">
        <v>0</v>
      </c>
      <c r="E95" s="4" t="s">
        <v>30</v>
      </c>
      <c r="F95" s="4" t="s">
        <v>31</v>
      </c>
      <c r="G95" s="8" t="str">
        <f t="shared" si="8"/>
        <v>24/03/2021</v>
      </c>
      <c r="H95" s="4" t="s">
        <v>1</v>
      </c>
      <c r="I95" s="4" t="s">
        <v>0</v>
      </c>
      <c r="J95" s="7" t="s">
        <v>158</v>
      </c>
      <c r="K95" s="7" t="s">
        <v>157</v>
      </c>
      <c r="L95" s="9" t="str">
        <f>+VLOOKUP(K95,'[1]BASE DE PROVEEDORES'!$A:$B,2,0)</f>
        <v>DISTRIBUIDORA PAREDES VELA S.A DE C.V.</v>
      </c>
      <c r="M95" s="10">
        <v>0</v>
      </c>
      <c r="N95" s="7" t="s">
        <v>2</v>
      </c>
      <c r="O95" s="7" t="s">
        <v>2</v>
      </c>
      <c r="P95" s="10">
        <v>141.47</v>
      </c>
      <c r="Q95" s="29" t="s">
        <v>2</v>
      </c>
      <c r="R95" s="32" t="s">
        <v>2</v>
      </c>
      <c r="S95" s="32" t="s">
        <v>2</v>
      </c>
      <c r="T95" s="29">
        <f t="shared" si="9"/>
        <v>18.391100000000002</v>
      </c>
      <c r="U95" s="29">
        <f t="shared" si="10"/>
        <v>159.86109999999999</v>
      </c>
      <c r="V95" s="4" t="s">
        <v>3</v>
      </c>
      <c r="X95" s="3">
        <f t="shared" si="11"/>
        <v>18.39</v>
      </c>
    </row>
    <row r="96" spans="1:24" hidden="1" x14ac:dyDescent="0.25">
      <c r="A96" s="7" t="s">
        <v>23</v>
      </c>
      <c r="C96" s="4" t="s">
        <v>42</v>
      </c>
      <c r="D96" s="4" t="s">
        <v>0</v>
      </c>
      <c r="E96" s="4" t="s">
        <v>30</v>
      </c>
      <c r="F96" s="4" t="s">
        <v>31</v>
      </c>
      <c r="G96" s="8" t="str">
        <f t="shared" si="8"/>
        <v>25/03/2021</v>
      </c>
      <c r="H96" s="4" t="s">
        <v>1</v>
      </c>
      <c r="I96" s="4" t="s">
        <v>0</v>
      </c>
      <c r="J96" s="7" t="s">
        <v>71</v>
      </c>
      <c r="K96" s="7" t="s">
        <v>45</v>
      </c>
      <c r="L96" s="9" t="str">
        <f>+VLOOKUP(K96,'[1]BASE DE PROVEEDORES'!$A:$B,2,0)</f>
        <v>JOSE RICARDO ANTONIO MOLINA</v>
      </c>
      <c r="M96" s="10">
        <v>10.38</v>
      </c>
      <c r="N96" s="7" t="s">
        <v>2</v>
      </c>
      <c r="O96" s="7" t="s">
        <v>2</v>
      </c>
      <c r="P96" s="10">
        <v>82.05</v>
      </c>
      <c r="Q96" s="29" t="s">
        <v>2</v>
      </c>
      <c r="R96" s="32" t="s">
        <v>2</v>
      </c>
      <c r="S96" s="32" t="s">
        <v>2</v>
      </c>
      <c r="T96" s="29">
        <f t="shared" si="9"/>
        <v>10.666499999999999</v>
      </c>
      <c r="U96" s="29">
        <f t="shared" si="10"/>
        <v>103.09649999999999</v>
      </c>
      <c r="V96" s="4" t="s">
        <v>3</v>
      </c>
      <c r="X96" s="3">
        <f t="shared" si="11"/>
        <v>10.67</v>
      </c>
    </row>
    <row r="97" spans="1:24" hidden="1" x14ac:dyDescent="0.25">
      <c r="A97" s="7" t="s">
        <v>23</v>
      </c>
      <c r="C97" s="4" t="s">
        <v>42</v>
      </c>
      <c r="D97" s="4" t="s">
        <v>0</v>
      </c>
      <c r="E97" s="4" t="s">
        <v>30</v>
      </c>
      <c r="F97" s="4" t="s">
        <v>31</v>
      </c>
      <c r="G97" s="8" t="str">
        <f t="shared" si="8"/>
        <v>25/03/2021</v>
      </c>
      <c r="H97" s="4" t="s">
        <v>1</v>
      </c>
      <c r="I97" s="4" t="s">
        <v>0</v>
      </c>
      <c r="J97" s="7" t="s">
        <v>72</v>
      </c>
      <c r="K97" s="7" t="s">
        <v>45</v>
      </c>
      <c r="L97" s="9" t="str">
        <f>+VLOOKUP(K97,'[1]BASE DE PROVEEDORES'!$A:$B,2,0)</f>
        <v>JOSE RICARDO ANTONIO MOLINA</v>
      </c>
      <c r="M97" s="10">
        <v>1.41</v>
      </c>
      <c r="N97" s="7" t="s">
        <v>2</v>
      </c>
      <c r="O97" s="7" t="s">
        <v>2</v>
      </c>
      <c r="P97" s="10">
        <v>11.15</v>
      </c>
      <c r="Q97" s="29" t="s">
        <v>2</v>
      </c>
      <c r="R97" s="32" t="s">
        <v>2</v>
      </c>
      <c r="S97" s="32" t="s">
        <v>2</v>
      </c>
      <c r="T97" s="29">
        <f t="shared" si="9"/>
        <v>1.4495</v>
      </c>
      <c r="U97" s="29">
        <f t="shared" si="10"/>
        <v>14.009500000000001</v>
      </c>
      <c r="V97" s="4" t="s">
        <v>3</v>
      </c>
      <c r="X97" s="3">
        <f t="shared" si="11"/>
        <v>1.45</v>
      </c>
    </row>
    <row r="98" spans="1:24" hidden="1" x14ac:dyDescent="0.25">
      <c r="A98" s="7" t="s">
        <v>23</v>
      </c>
      <c r="C98" s="4" t="s">
        <v>42</v>
      </c>
      <c r="D98" s="4" t="s">
        <v>0</v>
      </c>
      <c r="E98" s="4" t="s">
        <v>30</v>
      </c>
      <c r="F98" s="4" t="s">
        <v>31</v>
      </c>
      <c r="G98" s="8" t="str">
        <f t="shared" ref="G98:G126" si="12">+C98&amp;F98&amp;D98&amp;F98&amp;E98</f>
        <v>25/03/2021</v>
      </c>
      <c r="H98" s="4" t="s">
        <v>1</v>
      </c>
      <c r="I98" s="4" t="s">
        <v>0</v>
      </c>
      <c r="J98" s="7" t="s">
        <v>122</v>
      </c>
      <c r="K98" s="7" t="s">
        <v>123</v>
      </c>
      <c r="L98" s="9" t="str">
        <f>+VLOOKUP(K98,'[1]BASE DE PROVEEDORES'!$A:$B,2,0)</f>
        <v>TESSA S.A DE C.V.</v>
      </c>
      <c r="M98" s="10">
        <v>2.89</v>
      </c>
      <c r="N98" s="7" t="s">
        <v>2</v>
      </c>
      <c r="O98" s="7" t="s">
        <v>2</v>
      </c>
      <c r="P98" s="10">
        <v>25.99</v>
      </c>
      <c r="Q98" s="29" t="s">
        <v>2</v>
      </c>
      <c r="R98" s="32" t="s">
        <v>2</v>
      </c>
      <c r="S98" s="32" t="s">
        <v>2</v>
      </c>
      <c r="T98" s="29">
        <f t="shared" ref="T98:T126" si="13">+P98*0.13</f>
        <v>3.3786999999999998</v>
      </c>
      <c r="U98" s="29">
        <f t="shared" ref="U98:U126" si="14">+M98+P98+T98</f>
        <v>32.258699999999997</v>
      </c>
      <c r="V98" s="4" t="s">
        <v>3</v>
      </c>
      <c r="X98" s="3">
        <f t="shared" ref="X98:X161" si="15">+ROUND(T98,2)</f>
        <v>3.38</v>
      </c>
    </row>
    <row r="99" spans="1:24" hidden="1" x14ac:dyDescent="0.25">
      <c r="A99" s="7" t="s">
        <v>23</v>
      </c>
      <c r="C99" s="4" t="s">
        <v>42</v>
      </c>
      <c r="D99" s="4" t="s">
        <v>0</v>
      </c>
      <c r="E99" s="4" t="s">
        <v>30</v>
      </c>
      <c r="F99" s="4" t="s">
        <v>31</v>
      </c>
      <c r="G99" s="8" t="str">
        <f t="shared" si="12"/>
        <v>25/03/2021</v>
      </c>
      <c r="H99" s="4" t="s">
        <v>1</v>
      </c>
      <c r="I99" s="4" t="s">
        <v>0</v>
      </c>
      <c r="J99" s="7" t="s">
        <v>125</v>
      </c>
      <c r="K99" s="7" t="s">
        <v>126</v>
      </c>
      <c r="L99" s="9" t="str">
        <f>+VLOOKUP(K99,'[1]BASE DE PROVEEDORES'!$A:$B,2,0)</f>
        <v>REPUESTOS IZALCO S.A DE C.V.</v>
      </c>
      <c r="M99" s="10">
        <v>0</v>
      </c>
      <c r="N99" s="7" t="s">
        <v>2</v>
      </c>
      <c r="O99" s="7" t="s">
        <v>2</v>
      </c>
      <c r="P99" s="10">
        <v>16.2</v>
      </c>
      <c r="Q99" s="29" t="s">
        <v>2</v>
      </c>
      <c r="R99" s="32" t="s">
        <v>2</v>
      </c>
      <c r="S99" s="32" t="s">
        <v>2</v>
      </c>
      <c r="T99" s="29">
        <f t="shared" si="13"/>
        <v>2.1059999999999999</v>
      </c>
      <c r="U99" s="29">
        <f t="shared" si="14"/>
        <v>18.305999999999997</v>
      </c>
      <c r="V99" s="4" t="s">
        <v>3</v>
      </c>
      <c r="X99" s="3">
        <f t="shared" si="15"/>
        <v>2.11</v>
      </c>
    </row>
    <row r="100" spans="1:24" hidden="1" x14ac:dyDescent="0.25">
      <c r="A100" s="7" t="s">
        <v>23</v>
      </c>
      <c r="C100" s="4" t="s">
        <v>42</v>
      </c>
      <c r="D100" s="4" t="s">
        <v>0</v>
      </c>
      <c r="E100" s="4" t="s">
        <v>30</v>
      </c>
      <c r="F100" s="4" t="s">
        <v>31</v>
      </c>
      <c r="G100" s="8" t="str">
        <f t="shared" si="12"/>
        <v>25/03/2021</v>
      </c>
      <c r="H100" s="4" t="s">
        <v>1</v>
      </c>
      <c r="I100" s="4" t="s">
        <v>0</v>
      </c>
      <c r="J100" s="7" t="s">
        <v>127</v>
      </c>
      <c r="K100" s="7" t="s">
        <v>126</v>
      </c>
      <c r="L100" s="9" t="str">
        <f>+VLOOKUP(K100,'[1]BASE DE PROVEEDORES'!$A:$B,2,0)</f>
        <v>REPUESTOS IZALCO S.A DE C.V.</v>
      </c>
      <c r="M100" s="10">
        <v>0</v>
      </c>
      <c r="N100" s="7" t="s">
        <v>2</v>
      </c>
      <c r="O100" s="7" t="s">
        <v>2</v>
      </c>
      <c r="P100" s="10">
        <v>2.7</v>
      </c>
      <c r="Q100" s="29" t="s">
        <v>2</v>
      </c>
      <c r="R100" s="32" t="s">
        <v>2</v>
      </c>
      <c r="S100" s="32" t="s">
        <v>2</v>
      </c>
      <c r="T100" s="29">
        <f t="shared" si="13"/>
        <v>0.35100000000000003</v>
      </c>
      <c r="U100" s="29">
        <f t="shared" si="14"/>
        <v>3.0510000000000002</v>
      </c>
      <c r="V100" s="4" t="s">
        <v>3</v>
      </c>
      <c r="X100" s="3">
        <f t="shared" si="15"/>
        <v>0.35</v>
      </c>
    </row>
    <row r="101" spans="1:24" hidden="1" x14ac:dyDescent="0.25">
      <c r="A101" s="7" t="s">
        <v>23</v>
      </c>
      <c r="C101" s="4" t="s">
        <v>42</v>
      </c>
      <c r="D101" s="4" t="s">
        <v>0</v>
      </c>
      <c r="E101" s="4" t="s">
        <v>30</v>
      </c>
      <c r="F101" s="4" t="s">
        <v>31</v>
      </c>
      <c r="G101" s="8" t="str">
        <f t="shared" si="12"/>
        <v>25/03/2021</v>
      </c>
      <c r="H101" s="4" t="s">
        <v>1</v>
      </c>
      <c r="I101" s="4" t="s">
        <v>0</v>
      </c>
      <c r="J101" s="7" t="s">
        <v>128</v>
      </c>
      <c r="K101" s="7" t="s">
        <v>126</v>
      </c>
      <c r="L101" s="9" t="str">
        <f>+VLOOKUP(K101,'[1]BASE DE PROVEEDORES'!$A:$B,2,0)</f>
        <v>REPUESTOS IZALCO S.A DE C.V.</v>
      </c>
      <c r="M101" s="10">
        <v>0</v>
      </c>
      <c r="N101" s="7" t="s">
        <v>2</v>
      </c>
      <c r="O101" s="7" t="s">
        <v>2</v>
      </c>
      <c r="P101" s="10">
        <v>39.81</v>
      </c>
      <c r="Q101" s="29" t="s">
        <v>2</v>
      </c>
      <c r="R101" s="32" t="s">
        <v>2</v>
      </c>
      <c r="S101" s="32" t="s">
        <v>2</v>
      </c>
      <c r="T101" s="29">
        <f t="shared" si="13"/>
        <v>5.1753000000000009</v>
      </c>
      <c r="U101" s="29">
        <f t="shared" si="14"/>
        <v>44.985300000000002</v>
      </c>
      <c r="V101" s="4" t="s">
        <v>3</v>
      </c>
      <c r="X101" s="3">
        <f t="shared" si="15"/>
        <v>5.18</v>
      </c>
    </row>
    <row r="102" spans="1:24" hidden="1" x14ac:dyDescent="0.25">
      <c r="A102" s="7" t="s">
        <v>23</v>
      </c>
      <c r="C102" s="4" t="s">
        <v>42</v>
      </c>
      <c r="D102" s="4" t="s">
        <v>0</v>
      </c>
      <c r="E102" s="4" t="s">
        <v>30</v>
      </c>
      <c r="F102" s="4" t="s">
        <v>31</v>
      </c>
      <c r="G102" s="8" t="str">
        <f t="shared" si="12"/>
        <v>25/03/2021</v>
      </c>
      <c r="H102" s="4" t="s">
        <v>1</v>
      </c>
      <c r="I102" s="4" t="s">
        <v>0</v>
      </c>
      <c r="J102" s="7" t="s">
        <v>141</v>
      </c>
      <c r="K102" s="7" t="s">
        <v>140</v>
      </c>
      <c r="L102" s="9" t="str">
        <f>+VLOOKUP(K102,'[1]BASE DE PROVEEDORES'!$A:$B,2,0)</f>
        <v>TALLERES SOLDATOR S.A DE C.V.</v>
      </c>
      <c r="M102" s="10">
        <v>0</v>
      </c>
      <c r="N102" s="7" t="s">
        <v>2</v>
      </c>
      <c r="O102" s="7" t="s">
        <v>2</v>
      </c>
      <c r="P102" s="10">
        <v>25</v>
      </c>
      <c r="Q102" s="29" t="s">
        <v>2</v>
      </c>
      <c r="R102" s="32" t="s">
        <v>2</v>
      </c>
      <c r="S102" s="32" t="s">
        <v>2</v>
      </c>
      <c r="T102" s="29">
        <f t="shared" si="13"/>
        <v>3.25</v>
      </c>
      <c r="U102" s="29">
        <f t="shared" si="14"/>
        <v>28.25</v>
      </c>
      <c r="V102" s="4" t="s">
        <v>3</v>
      </c>
      <c r="X102" s="3">
        <f t="shared" si="15"/>
        <v>3.25</v>
      </c>
    </row>
    <row r="103" spans="1:24" hidden="1" x14ac:dyDescent="0.25">
      <c r="A103" s="7" t="s">
        <v>23</v>
      </c>
      <c r="C103" s="4" t="s">
        <v>44</v>
      </c>
      <c r="D103" s="4" t="s">
        <v>0</v>
      </c>
      <c r="E103" s="4" t="s">
        <v>30</v>
      </c>
      <c r="F103" s="4" t="s">
        <v>31</v>
      </c>
      <c r="G103" s="8" t="str">
        <f t="shared" si="12"/>
        <v>26/03/2021</v>
      </c>
      <c r="H103" s="4" t="s">
        <v>1</v>
      </c>
      <c r="I103" s="4" t="s">
        <v>0</v>
      </c>
      <c r="J103" s="7" t="s">
        <v>70</v>
      </c>
      <c r="K103" s="7" t="s">
        <v>45</v>
      </c>
      <c r="L103" s="9" t="str">
        <f>+VLOOKUP(K103,'[1]BASE DE PROVEEDORES'!$A:$B,2,0)</f>
        <v>JOSE RICARDO ANTONIO MOLINA</v>
      </c>
      <c r="M103" s="10">
        <v>5.74</v>
      </c>
      <c r="N103" s="7" t="s">
        <v>2</v>
      </c>
      <c r="O103" s="7" t="s">
        <v>2</v>
      </c>
      <c r="P103" s="10">
        <v>45.36</v>
      </c>
      <c r="Q103" s="29" t="s">
        <v>2</v>
      </c>
      <c r="R103" s="32" t="s">
        <v>2</v>
      </c>
      <c r="S103" s="32" t="s">
        <v>2</v>
      </c>
      <c r="T103" s="29">
        <f t="shared" si="13"/>
        <v>5.8967999999999998</v>
      </c>
      <c r="U103" s="29">
        <f t="shared" si="14"/>
        <v>56.9968</v>
      </c>
      <c r="V103" s="4" t="s">
        <v>3</v>
      </c>
      <c r="X103" s="3">
        <f t="shared" si="15"/>
        <v>5.9</v>
      </c>
    </row>
    <row r="104" spans="1:24" hidden="1" x14ac:dyDescent="0.25">
      <c r="A104" s="7" t="s">
        <v>23</v>
      </c>
      <c r="C104" s="4" t="s">
        <v>44</v>
      </c>
      <c r="D104" s="4" t="s">
        <v>0</v>
      </c>
      <c r="E104" s="4" t="s">
        <v>30</v>
      </c>
      <c r="F104" s="4" t="s">
        <v>31</v>
      </c>
      <c r="G104" s="8" t="str">
        <f t="shared" si="12"/>
        <v>26/03/2021</v>
      </c>
      <c r="H104" s="4" t="s">
        <v>1</v>
      </c>
      <c r="I104" s="4" t="s">
        <v>0</v>
      </c>
      <c r="J104" s="7" t="s">
        <v>87</v>
      </c>
      <c r="K104" s="7" t="s">
        <v>28</v>
      </c>
      <c r="L104" s="9" t="str">
        <f>+VLOOKUP(K104,'[1]BASE DE PROVEEDORES'!$A:$B,2,0)</f>
        <v xml:space="preserve">ACTIVIDADES PETROLERAS DE EL SALVADOR S.A DE C.V </v>
      </c>
      <c r="M104" s="10">
        <v>4.33</v>
      </c>
      <c r="N104" s="7" t="s">
        <v>2</v>
      </c>
      <c r="O104" s="7" t="s">
        <v>2</v>
      </c>
      <c r="P104" s="10">
        <v>26.29</v>
      </c>
      <c r="Q104" s="29" t="s">
        <v>2</v>
      </c>
      <c r="R104" s="32" t="s">
        <v>2</v>
      </c>
      <c r="S104" s="32" t="s">
        <v>2</v>
      </c>
      <c r="T104" s="29">
        <f t="shared" si="13"/>
        <v>3.4177</v>
      </c>
      <c r="U104" s="29">
        <f t="shared" si="14"/>
        <v>34.037700000000001</v>
      </c>
      <c r="V104" s="4" t="s">
        <v>3</v>
      </c>
      <c r="X104" s="3">
        <f t="shared" si="15"/>
        <v>3.42</v>
      </c>
    </row>
    <row r="105" spans="1:24" hidden="1" x14ac:dyDescent="0.25">
      <c r="A105" s="7" t="s">
        <v>23</v>
      </c>
      <c r="C105" s="4" t="s">
        <v>44</v>
      </c>
      <c r="D105" s="4" t="s">
        <v>0</v>
      </c>
      <c r="E105" s="4" t="s">
        <v>30</v>
      </c>
      <c r="F105" s="4" t="s">
        <v>31</v>
      </c>
      <c r="G105" s="8" t="str">
        <f t="shared" si="12"/>
        <v>26/03/2021</v>
      </c>
      <c r="H105" s="4" t="s">
        <v>1</v>
      </c>
      <c r="I105" s="4" t="s">
        <v>0</v>
      </c>
      <c r="J105" s="7" t="s">
        <v>146</v>
      </c>
      <c r="K105" s="7" t="s">
        <v>126</v>
      </c>
      <c r="L105" s="9" t="str">
        <f>+VLOOKUP(K105,'[1]BASE DE PROVEEDORES'!$A:$B,2,0)</f>
        <v>REPUESTOS IZALCO S.A DE C.V.</v>
      </c>
      <c r="M105" s="10">
        <v>0</v>
      </c>
      <c r="N105" s="7" t="s">
        <v>2</v>
      </c>
      <c r="O105" s="7" t="s">
        <v>2</v>
      </c>
      <c r="P105" s="10">
        <v>21</v>
      </c>
      <c r="Q105" s="29" t="s">
        <v>2</v>
      </c>
      <c r="R105" s="32" t="s">
        <v>2</v>
      </c>
      <c r="S105" s="32" t="s">
        <v>2</v>
      </c>
      <c r="T105" s="29">
        <f t="shared" si="13"/>
        <v>2.73</v>
      </c>
      <c r="U105" s="29">
        <f t="shared" si="14"/>
        <v>23.73</v>
      </c>
      <c r="V105" s="4" t="s">
        <v>3</v>
      </c>
      <c r="X105" s="3">
        <f t="shared" si="15"/>
        <v>2.73</v>
      </c>
    </row>
    <row r="106" spans="1:24" hidden="1" x14ac:dyDescent="0.25">
      <c r="A106" s="7" t="s">
        <v>23</v>
      </c>
      <c r="C106" s="4" t="s">
        <v>44</v>
      </c>
      <c r="D106" s="4" t="s">
        <v>0</v>
      </c>
      <c r="E106" s="4" t="s">
        <v>30</v>
      </c>
      <c r="F106" s="4" t="s">
        <v>31</v>
      </c>
      <c r="G106" s="8" t="str">
        <f t="shared" si="12"/>
        <v>26/03/2021</v>
      </c>
      <c r="H106" s="4" t="s">
        <v>1</v>
      </c>
      <c r="I106" s="4" t="s">
        <v>0</v>
      </c>
      <c r="J106" s="7" t="s">
        <v>180</v>
      </c>
      <c r="K106" s="7" t="s">
        <v>172</v>
      </c>
      <c r="L106" s="9" t="str">
        <f>+VLOOKUP(K106,'[1]BASE DE PROVEEDORES'!$A:$B,2,0)</f>
        <v>MANEJO INTEGRAL DE DESECHOS SOLIDOS SEM DE C.V.</v>
      </c>
      <c r="M106" s="10">
        <v>0</v>
      </c>
      <c r="N106" s="7" t="s">
        <v>2</v>
      </c>
      <c r="O106" s="7" t="s">
        <v>2</v>
      </c>
      <c r="P106" s="10">
        <v>55.31</v>
      </c>
      <c r="Q106" s="29" t="s">
        <v>2</v>
      </c>
      <c r="R106" s="32" t="s">
        <v>2</v>
      </c>
      <c r="S106" s="32" t="s">
        <v>2</v>
      </c>
      <c r="T106" s="29">
        <f t="shared" si="13"/>
        <v>7.1903000000000006</v>
      </c>
      <c r="U106" s="29">
        <f t="shared" si="14"/>
        <v>62.500300000000003</v>
      </c>
      <c r="V106" s="4" t="s">
        <v>3</v>
      </c>
      <c r="X106" s="3">
        <f t="shared" si="15"/>
        <v>7.19</v>
      </c>
    </row>
    <row r="107" spans="1:24" hidden="1" x14ac:dyDescent="0.25">
      <c r="A107" s="7" t="s">
        <v>23</v>
      </c>
      <c r="C107" s="4" t="s">
        <v>44</v>
      </c>
      <c r="D107" s="4" t="s">
        <v>0</v>
      </c>
      <c r="E107" s="4" t="s">
        <v>30</v>
      </c>
      <c r="F107" s="4" t="s">
        <v>31</v>
      </c>
      <c r="G107" s="8" t="str">
        <f t="shared" si="12"/>
        <v>26/03/2021</v>
      </c>
      <c r="H107" s="4" t="s">
        <v>1</v>
      </c>
      <c r="I107" s="4" t="s">
        <v>0</v>
      </c>
      <c r="J107" s="7" t="s">
        <v>203</v>
      </c>
      <c r="K107" s="7" t="s">
        <v>172</v>
      </c>
      <c r="L107" s="9" t="str">
        <f>+VLOOKUP(K107,'[1]BASE DE PROVEEDORES'!$A:$B,2,0)</f>
        <v>MANEJO INTEGRAL DE DESECHOS SOLIDOS SEM DE C.V.</v>
      </c>
      <c r="M107" s="10">
        <v>0</v>
      </c>
      <c r="N107" s="7" t="s">
        <v>2</v>
      </c>
      <c r="O107" s="7" t="s">
        <v>2</v>
      </c>
      <c r="P107" s="10">
        <v>78.760000000000005</v>
      </c>
      <c r="Q107" s="29" t="s">
        <v>2</v>
      </c>
      <c r="R107" s="32" t="s">
        <v>2</v>
      </c>
      <c r="S107" s="32" t="s">
        <v>2</v>
      </c>
      <c r="T107" s="29">
        <f t="shared" si="13"/>
        <v>10.238800000000001</v>
      </c>
      <c r="U107" s="29">
        <f t="shared" si="14"/>
        <v>88.998800000000003</v>
      </c>
      <c r="V107" s="4" t="s">
        <v>3</v>
      </c>
      <c r="X107" s="3">
        <f t="shared" si="15"/>
        <v>10.24</v>
      </c>
    </row>
    <row r="108" spans="1:24" hidden="1" x14ac:dyDescent="0.25">
      <c r="A108" s="7" t="s">
        <v>23</v>
      </c>
      <c r="C108" s="4" t="s">
        <v>25</v>
      </c>
      <c r="D108" s="4" t="s">
        <v>0</v>
      </c>
      <c r="E108" s="4" t="s">
        <v>30</v>
      </c>
      <c r="F108" s="4" t="s">
        <v>31</v>
      </c>
      <c r="G108" s="8" t="str">
        <f t="shared" si="12"/>
        <v>27/03/2021</v>
      </c>
      <c r="H108" s="4" t="s">
        <v>1</v>
      </c>
      <c r="I108" s="4" t="s">
        <v>0</v>
      </c>
      <c r="J108" s="7" t="s">
        <v>192</v>
      </c>
      <c r="K108" s="7" t="s">
        <v>172</v>
      </c>
      <c r="L108" s="9" t="str">
        <f>+VLOOKUP(K108,'[1]BASE DE PROVEEDORES'!$A:$B,2,0)</f>
        <v>MANEJO INTEGRAL DE DESECHOS SOLIDOS SEM DE C.V.</v>
      </c>
      <c r="M108" s="10">
        <v>0</v>
      </c>
      <c r="N108" s="7" t="s">
        <v>2</v>
      </c>
      <c r="O108" s="7" t="s">
        <v>2</v>
      </c>
      <c r="P108" s="10">
        <v>65.98</v>
      </c>
      <c r="Q108" s="29" t="s">
        <v>2</v>
      </c>
      <c r="R108" s="32" t="s">
        <v>2</v>
      </c>
      <c r="S108" s="32" t="s">
        <v>2</v>
      </c>
      <c r="T108" s="29">
        <f t="shared" si="13"/>
        <v>8.5774000000000008</v>
      </c>
      <c r="U108" s="29">
        <f t="shared" si="14"/>
        <v>74.557400000000001</v>
      </c>
      <c r="V108" s="4" t="s">
        <v>3</v>
      </c>
      <c r="X108" s="3">
        <f t="shared" si="15"/>
        <v>8.58</v>
      </c>
    </row>
    <row r="109" spans="1:24" hidden="1" x14ac:dyDescent="0.25">
      <c r="A109" s="7" t="s">
        <v>23</v>
      </c>
      <c r="C109" s="4" t="s">
        <v>68</v>
      </c>
      <c r="D109" s="4" t="s">
        <v>0</v>
      </c>
      <c r="E109" s="4" t="s">
        <v>30</v>
      </c>
      <c r="F109" s="4" t="s">
        <v>31</v>
      </c>
      <c r="G109" s="8" t="str">
        <f t="shared" si="12"/>
        <v>28/03/2021</v>
      </c>
      <c r="H109" s="4" t="s">
        <v>1</v>
      </c>
      <c r="I109" s="4" t="s">
        <v>0</v>
      </c>
      <c r="J109" s="7" t="s">
        <v>69</v>
      </c>
      <c r="K109" s="7" t="s">
        <v>45</v>
      </c>
      <c r="L109" s="9" t="str">
        <f>+VLOOKUP(K109,'[1]BASE DE PROVEEDORES'!$A:$B,2,0)</f>
        <v>JOSE RICARDO ANTONIO MOLINA</v>
      </c>
      <c r="M109" s="10">
        <v>11.07</v>
      </c>
      <c r="N109" s="7" t="s">
        <v>2</v>
      </c>
      <c r="O109" s="7" t="s">
        <v>2</v>
      </c>
      <c r="P109" s="10">
        <v>87.43</v>
      </c>
      <c r="Q109" s="29" t="s">
        <v>2</v>
      </c>
      <c r="R109" s="32" t="s">
        <v>2</v>
      </c>
      <c r="S109" s="32" t="s">
        <v>2</v>
      </c>
      <c r="T109" s="29">
        <f t="shared" si="13"/>
        <v>11.365900000000002</v>
      </c>
      <c r="U109" s="29">
        <f t="shared" si="14"/>
        <v>109.8659</v>
      </c>
      <c r="V109" s="4" t="s">
        <v>3</v>
      </c>
      <c r="X109" s="3">
        <f t="shared" si="15"/>
        <v>11.37</v>
      </c>
    </row>
    <row r="110" spans="1:24" hidden="1" x14ac:dyDescent="0.25">
      <c r="A110" s="7" t="s">
        <v>23</v>
      </c>
      <c r="C110" s="4" t="s">
        <v>35</v>
      </c>
      <c r="D110" s="4" t="s">
        <v>0</v>
      </c>
      <c r="E110" s="4" t="s">
        <v>30</v>
      </c>
      <c r="F110" s="4" t="s">
        <v>31</v>
      </c>
      <c r="G110" s="8" t="str">
        <f t="shared" si="12"/>
        <v>29/03/2021</v>
      </c>
      <c r="H110" s="4" t="s">
        <v>1</v>
      </c>
      <c r="I110" s="4" t="s">
        <v>0</v>
      </c>
      <c r="J110" s="7" t="s">
        <v>67</v>
      </c>
      <c r="K110" s="7" t="s">
        <v>45</v>
      </c>
      <c r="L110" s="9" t="str">
        <f>+VLOOKUP(K110,'[1]BASE DE PROVEEDORES'!$A:$B,2,0)</f>
        <v>JOSE RICARDO ANTONIO MOLINA</v>
      </c>
      <c r="M110" s="10">
        <v>1.51</v>
      </c>
      <c r="N110" s="7" t="s">
        <v>2</v>
      </c>
      <c r="O110" s="7" t="s">
        <v>2</v>
      </c>
      <c r="P110" s="10">
        <v>11.95</v>
      </c>
      <c r="Q110" s="29" t="s">
        <v>2</v>
      </c>
      <c r="R110" s="32" t="s">
        <v>2</v>
      </c>
      <c r="S110" s="32" t="s">
        <v>2</v>
      </c>
      <c r="T110" s="29">
        <f t="shared" si="13"/>
        <v>1.5534999999999999</v>
      </c>
      <c r="U110" s="29">
        <f t="shared" si="14"/>
        <v>15.013499999999999</v>
      </c>
      <c r="V110" s="4" t="s">
        <v>3</v>
      </c>
      <c r="X110" s="3">
        <f t="shared" si="15"/>
        <v>1.55</v>
      </c>
    </row>
    <row r="111" spans="1:24" hidden="1" x14ac:dyDescent="0.25">
      <c r="A111" s="7" t="s">
        <v>23</v>
      </c>
      <c r="C111" s="4" t="s">
        <v>35</v>
      </c>
      <c r="D111" s="4" t="s">
        <v>0</v>
      </c>
      <c r="E111" s="4" t="s">
        <v>30</v>
      </c>
      <c r="F111" s="4" t="s">
        <v>31</v>
      </c>
      <c r="G111" s="8" t="str">
        <f t="shared" si="12"/>
        <v>29/03/2021</v>
      </c>
      <c r="H111" s="4" t="s">
        <v>1</v>
      </c>
      <c r="I111" s="4" t="s">
        <v>0</v>
      </c>
      <c r="J111" s="7" t="s">
        <v>86</v>
      </c>
      <c r="K111" s="7" t="s">
        <v>28</v>
      </c>
      <c r="L111" s="9" t="str">
        <f>+VLOOKUP(K111,'[1]BASE DE PROVEEDORES'!$A:$B,2,0)</f>
        <v xml:space="preserve">ACTIVIDADES PETROLERAS DE EL SALVADOR S.A DE C.V </v>
      </c>
      <c r="M111" s="10">
        <v>3.5</v>
      </c>
      <c r="N111" s="7" t="s">
        <v>2</v>
      </c>
      <c r="O111" s="7" t="s">
        <v>2</v>
      </c>
      <c r="P111" s="10">
        <v>27.84</v>
      </c>
      <c r="Q111" s="29" t="s">
        <v>2</v>
      </c>
      <c r="R111" s="32" t="s">
        <v>2</v>
      </c>
      <c r="S111" s="32" t="s">
        <v>2</v>
      </c>
      <c r="T111" s="29">
        <f t="shared" si="13"/>
        <v>3.6192000000000002</v>
      </c>
      <c r="U111" s="29">
        <f t="shared" si="14"/>
        <v>34.959200000000003</v>
      </c>
      <c r="V111" s="4" t="s">
        <v>3</v>
      </c>
      <c r="X111" s="3">
        <f t="shared" si="15"/>
        <v>3.62</v>
      </c>
    </row>
    <row r="112" spans="1:24" hidden="1" x14ac:dyDescent="0.25">
      <c r="A112" s="7" t="s">
        <v>23</v>
      </c>
      <c r="C112" s="4" t="s">
        <v>35</v>
      </c>
      <c r="D112" s="4" t="s">
        <v>0</v>
      </c>
      <c r="E112" s="4" t="s">
        <v>30</v>
      </c>
      <c r="F112" s="4" t="s">
        <v>31</v>
      </c>
      <c r="G112" s="8" t="str">
        <f t="shared" si="12"/>
        <v>29/03/2021</v>
      </c>
      <c r="H112" s="4" t="s">
        <v>1</v>
      </c>
      <c r="I112" s="4" t="s">
        <v>0</v>
      </c>
      <c r="J112" s="7" t="s">
        <v>137</v>
      </c>
      <c r="K112" s="7" t="s">
        <v>138</v>
      </c>
      <c r="L112" s="9" t="str">
        <f>+VLOOKUP(K112,'[1]BASE DE PROVEEDORES'!$A:$B,2,0)</f>
        <v>RODAMIENTOS Y REPUESTOS PARA MOTOCICLETA</v>
      </c>
      <c r="M112" s="10">
        <v>0</v>
      </c>
      <c r="N112" s="7" t="s">
        <v>2</v>
      </c>
      <c r="O112" s="7" t="s">
        <v>2</v>
      </c>
      <c r="P112" s="10">
        <v>35.4</v>
      </c>
      <c r="Q112" s="29" t="s">
        <v>2</v>
      </c>
      <c r="R112" s="32" t="s">
        <v>2</v>
      </c>
      <c r="S112" s="32" t="s">
        <v>2</v>
      </c>
      <c r="T112" s="29">
        <f t="shared" si="13"/>
        <v>4.6020000000000003</v>
      </c>
      <c r="U112" s="29">
        <f t="shared" si="14"/>
        <v>40.001999999999995</v>
      </c>
      <c r="V112" s="4" t="s">
        <v>3</v>
      </c>
      <c r="X112" s="3">
        <f t="shared" si="15"/>
        <v>4.5999999999999996</v>
      </c>
    </row>
    <row r="113" spans="1:24" hidden="1" x14ac:dyDescent="0.25">
      <c r="A113" s="7" t="s">
        <v>23</v>
      </c>
      <c r="C113" s="4" t="s">
        <v>35</v>
      </c>
      <c r="D113" s="4" t="s">
        <v>0</v>
      </c>
      <c r="E113" s="4" t="s">
        <v>30</v>
      </c>
      <c r="F113" s="4" t="s">
        <v>31</v>
      </c>
      <c r="G113" s="8" t="str">
        <f t="shared" si="12"/>
        <v>29/03/2021</v>
      </c>
      <c r="H113" s="4" t="s">
        <v>1</v>
      </c>
      <c r="I113" s="4" t="s">
        <v>0</v>
      </c>
      <c r="J113" s="7" t="s">
        <v>198</v>
      </c>
      <c r="K113" s="7" t="s">
        <v>172</v>
      </c>
      <c r="L113" s="9" t="str">
        <f>+VLOOKUP(K113,'[1]BASE DE PROVEEDORES'!$A:$B,2,0)</f>
        <v>MANEJO INTEGRAL DE DESECHOS SOLIDOS SEM DE C.V.</v>
      </c>
      <c r="M113" s="10">
        <v>0</v>
      </c>
      <c r="N113" s="7" t="s">
        <v>2</v>
      </c>
      <c r="O113" s="7" t="s">
        <v>2</v>
      </c>
      <c r="P113" s="10">
        <v>56.26</v>
      </c>
      <c r="Q113" s="29" t="s">
        <v>2</v>
      </c>
      <c r="R113" s="32" t="s">
        <v>2</v>
      </c>
      <c r="S113" s="32" t="s">
        <v>2</v>
      </c>
      <c r="T113" s="29">
        <f t="shared" si="13"/>
        <v>7.3137999999999996</v>
      </c>
      <c r="U113" s="29">
        <f t="shared" si="14"/>
        <v>63.573799999999999</v>
      </c>
      <c r="V113" s="4" t="s">
        <v>3</v>
      </c>
      <c r="X113" s="3">
        <f t="shared" si="15"/>
        <v>7.31</v>
      </c>
    </row>
    <row r="114" spans="1:24" hidden="1" x14ac:dyDescent="0.25">
      <c r="A114" s="7" t="s">
        <v>23</v>
      </c>
      <c r="C114" s="4" t="s">
        <v>35</v>
      </c>
      <c r="D114" s="4" t="s">
        <v>0</v>
      </c>
      <c r="E114" s="4" t="s">
        <v>30</v>
      </c>
      <c r="F114" s="4" t="s">
        <v>31</v>
      </c>
      <c r="G114" s="8" t="str">
        <f t="shared" si="12"/>
        <v>29/03/2021</v>
      </c>
      <c r="H114" s="4" t="s">
        <v>1</v>
      </c>
      <c r="I114" s="4" t="s">
        <v>0</v>
      </c>
      <c r="J114" s="7" t="s">
        <v>204</v>
      </c>
      <c r="K114" s="7" t="s">
        <v>172</v>
      </c>
      <c r="L114" s="9" t="str">
        <f>+VLOOKUP(K114,'[1]BASE DE PROVEEDORES'!$A:$B,2,0)</f>
        <v>MANEJO INTEGRAL DE DESECHOS SOLIDOS SEM DE C.V.</v>
      </c>
      <c r="M114" s="10">
        <v>0</v>
      </c>
      <c r="N114" s="7" t="s">
        <v>2</v>
      </c>
      <c r="O114" s="7" t="s">
        <v>2</v>
      </c>
      <c r="P114" s="10">
        <v>56.26</v>
      </c>
      <c r="Q114" s="29" t="s">
        <v>2</v>
      </c>
      <c r="R114" s="32" t="s">
        <v>2</v>
      </c>
      <c r="S114" s="32" t="s">
        <v>2</v>
      </c>
      <c r="T114" s="29">
        <f t="shared" si="13"/>
        <v>7.3137999999999996</v>
      </c>
      <c r="U114" s="29">
        <f t="shared" si="14"/>
        <v>63.573799999999999</v>
      </c>
      <c r="V114" s="4" t="s">
        <v>3</v>
      </c>
      <c r="X114" s="3">
        <f t="shared" si="15"/>
        <v>7.31</v>
      </c>
    </row>
    <row r="115" spans="1:24" hidden="1" x14ac:dyDescent="0.25">
      <c r="A115" s="7" t="s">
        <v>23</v>
      </c>
      <c r="C115" s="4" t="s">
        <v>64</v>
      </c>
      <c r="D115" s="4" t="s">
        <v>0</v>
      </c>
      <c r="E115" s="4" t="s">
        <v>30</v>
      </c>
      <c r="F115" s="4" t="s">
        <v>31</v>
      </c>
      <c r="G115" s="8" t="str">
        <f t="shared" si="12"/>
        <v>30/03/2021</v>
      </c>
      <c r="H115" s="4" t="s">
        <v>1</v>
      </c>
      <c r="I115" s="4" t="s">
        <v>0</v>
      </c>
      <c r="J115" s="7" t="s">
        <v>65</v>
      </c>
      <c r="K115" s="7" t="s">
        <v>45</v>
      </c>
      <c r="L115" s="9" t="str">
        <f>+VLOOKUP(K115,'[1]BASE DE PROVEEDORES'!$A:$B,2,0)</f>
        <v>JOSE RICARDO ANTONIO MOLINA</v>
      </c>
      <c r="M115" s="10">
        <v>11.79</v>
      </c>
      <c r="N115" s="7" t="s">
        <v>2</v>
      </c>
      <c r="O115" s="7" t="s">
        <v>2</v>
      </c>
      <c r="P115" s="10">
        <v>93.11</v>
      </c>
      <c r="Q115" s="29" t="s">
        <v>2</v>
      </c>
      <c r="R115" s="32" t="s">
        <v>2</v>
      </c>
      <c r="S115" s="32" t="s">
        <v>2</v>
      </c>
      <c r="T115" s="29">
        <f t="shared" si="13"/>
        <v>12.1043</v>
      </c>
      <c r="U115" s="29">
        <f t="shared" si="14"/>
        <v>117.0043</v>
      </c>
      <c r="V115" s="4" t="s">
        <v>3</v>
      </c>
      <c r="X115" s="3">
        <f t="shared" si="15"/>
        <v>12.1</v>
      </c>
    </row>
    <row r="116" spans="1:24" hidden="1" x14ac:dyDescent="0.25">
      <c r="A116" s="7" t="s">
        <v>23</v>
      </c>
      <c r="C116" s="4" t="s">
        <v>64</v>
      </c>
      <c r="D116" s="4" t="s">
        <v>0</v>
      </c>
      <c r="E116" s="4" t="s">
        <v>30</v>
      </c>
      <c r="F116" s="4" t="s">
        <v>31</v>
      </c>
      <c r="G116" s="8" t="str">
        <f t="shared" si="12"/>
        <v>30/03/2021</v>
      </c>
      <c r="H116" s="4" t="s">
        <v>1</v>
      </c>
      <c r="I116" s="4" t="s">
        <v>0</v>
      </c>
      <c r="J116" s="7" t="s">
        <v>66</v>
      </c>
      <c r="K116" s="7" t="s">
        <v>45</v>
      </c>
      <c r="L116" s="9" t="str">
        <f>+VLOOKUP(K116,'[1]BASE DE PROVEEDORES'!$A:$B,2,0)</f>
        <v>JOSE RICARDO ANTONIO MOLINA</v>
      </c>
      <c r="M116" s="10">
        <v>10.86</v>
      </c>
      <c r="N116" s="7" t="s">
        <v>2</v>
      </c>
      <c r="O116" s="7" t="s">
        <v>2</v>
      </c>
      <c r="P116" s="10">
        <v>85.79</v>
      </c>
      <c r="Q116" s="29" t="s">
        <v>2</v>
      </c>
      <c r="R116" s="32" t="s">
        <v>2</v>
      </c>
      <c r="S116" s="32" t="s">
        <v>2</v>
      </c>
      <c r="T116" s="29">
        <f t="shared" si="13"/>
        <v>11.152700000000001</v>
      </c>
      <c r="U116" s="29">
        <f t="shared" si="14"/>
        <v>107.8027</v>
      </c>
      <c r="V116" s="4" t="s">
        <v>3</v>
      </c>
      <c r="X116" s="3">
        <f t="shared" si="15"/>
        <v>11.15</v>
      </c>
    </row>
    <row r="117" spans="1:24" hidden="1" x14ac:dyDescent="0.25">
      <c r="A117" s="7" t="s">
        <v>23</v>
      </c>
      <c r="C117" s="4" t="s">
        <v>64</v>
      </c>
      <c r="D117" s="4" t="s">
        <v>0</v>
      </c>
      <c r="E117" s="4" t="s">
        <v>30</v>
      </c>
      <c r="F117" s="4" t="s">
        <v>31</v>
      </c>
      <c r="G117" s="8" t="str">
        <f t="shared" si="12"/>
        <v>30/03/2021</v>
      </c>
      <c r="H117" s="4" t="s">
        <v>1</v>
      </c>
      <c r="I117" s="4" t="s">
        <v>0</v>
      </c>
      <c r="J117" s="7" t="s">
        <v>139</v>
      </c>
      <c r="K117" s="7" t="s">
        <v>140</v>
      </c>
      <c r="L117" s="9" t="str">
        <f>+VLOOKUP(K117,'[1]BASE DE PROVEEDORES'!$A:$B,2,0)</f>
        <v>TALLERES SOLDATOR S.A DE C.V.</v>
      </c>
      <c r="M117" s="10">
        <v>0</v>
      </c>
      <c r="N117" s="7" t="s">
        <v>2</v>
      </c>
      <c r="O117" s="7" t="s">
        <v>2</v>
      </c>
      <c r="P117" s="10">
        <v>40</v>
      </c>
      <c r="Q117" s="29" t="s">
        <v>2</v>
      </c>
      <c r="R117" s="32" t="s">
        <v>2</v>
      </c>
      <c r="S117" s="32" t="s">
        <v>2</v>
      </c>
      <c r="T117" s="29">
        <f t="shared" si="13"/>
        <v>5.2</v>
      </c>
      <c r="U117" s="29">
        <f t="shared" si="14"/>
        <v>45.2</v>
      </c>
      <c r="V117" s="4" t="s">
        <v>3</v>
      </c>
      <c r="X117" s="3">
        <f t="shared" si="15"/>
        <v>5.2</v>
      </c>
    </row>
    <row r="118" spans="1:24" hidden="1" x14ac:dyDescent="0.25">
      <c r="A118" s="7" t="s">
        <v>23</v>
      </c>
      <c r="C118" s="4" t="s">
        <v>64</v>
      </c>
      <c r="D118" s="4" t="s">
        <v>0</v>
      </c>
      <c r="E118" s="4" t="s">
        <v>30</v>
      </c>
      <c r="F118" s="4" t="s">
        <v>31</v>
      </c>
      <c r="G118" s="8" t="str">
        <f t="shared" si="12"/>
        <v>30/03/2021</v>
      </c>
      <c r="H118" s="4" t="s">
        <v>1</v>
      </c>
      <c r="I118" s="4" t="s">
        <v>0</v>
      </c>
      <c r="J118" s="7" t="s">
        <v>152</v>
      </c>
      <c r="K118" s="7" t="s">
        <v>28</v>
      </c>
      <c r="L118" s="9" t="str">
        <f>+VLOOKUP(K118,'[1]BASE DE PROVEEDORES'!$A:$B,2,0)</f>
        <v xml:space="preserve">ACTIVIDADES PETROLERAS DE EL SALVADOR S.A DE C.V </v>
      </c>
      <c r="M118" s="10">
        <v>2.54</v>
      </c>
      <c r="N118" s="7" t="s">
        <v>2</v>
      </c>
      <c r="O118" s="7" t="s">
        <v>2</v>
      </c>
      <c r="P118" s="10">
        <v>23.42</v>
      </c>
      <c r="Q118" s="29" t="s">
        <v>2</v>
      </c>
      <c r="R118" s="32" t="s">
        <v>2</v>
      </c>
      <c r="S118" s="32" t="s">
        <v>2</v>
      </c>
      <c r="T118" s="29">
        <f t="shared" si="13"/>
        <v>3.0446000000000004</v>
      </c>
      <c r="U118" s="29">
        <f t="shared" si="14"/>
        <v>29.0046</v>
      </c>
      <c r="V118" s="4" t="s">
        <v>3</v>
      </c>
      <c r="X118" s="3">
        <f t="shared" si="15"/>
        <v>3.04</v>
      </c>
    </row>
    <row r="119" spans="1:24" hidden="1" x14ac:dyDescent="0.25">
      <c r="A119" s="7" t="s">
        <v>23</v>
      </c>
      <c r="C119" s="4" t="s">
        <v>64</v>
      </c>
      <c r="D119" s="4" t="s">
        <v>0</v>
      </c>
      <c r="E119" s="4" t="s">
        <v>30</v>
      </c>
      <c r="F119" s="4" t="s">
        <v>31</v>
      </c>
      <c r="G119" s="8" t="str">
        <f t="shared" si="12"/>
        <v>30/03/2021</v>
      </c>
      <c r="H119" s="4" t="s">
        <v>1</v>
      </c>
      <c r="I119" s="4" t="s">
        <v>0</v>
      </c>
      <c r="J119" s="7" t="s">
        <v>181</v>
      </c>
      <c r="K119" s="7" t="s">
        <v>172</v>
      </c>
      <c r="L119" s="9" t="str">
        <f>+VLOOKUP(K119,'[1]BASE DE PROVEEDORES'!$A:$B,2,0)</f>
        <v>MANEJO INTEGRAL DE DESECHOS SOLIDOS SEM DE C.V.</v>
      </c>
      <c r="M119" s="10">
        <v>0</v>
      </c>
      <c r="N119" s="7" t="s">
        <v>2</v>
      </c>
      <c r="O119" s="7" t="s">
        <v>2</v>
      </c>
      <c r="P119" s="10">
        <v>62.05</v>
      </c>
      <c r="Q119" s="29" t="s">
        <v>2</v>
      </c>
      <c r="R119" s="32" t="s">
        <v>2</v>
      </c>
      <c r="S119" s="32" t="s">
        <v>2</v>
      </c>
      <c r="T119" s="29">
        <f t="shared" si="13"/>
        <v>8.0664999999999996</v>
      </c>
      <c r="U119" s="29">
        <f t="shared" si="14"/>
        <v>70.116500000000002</v>
      </c>
      <c r="V119" s="4" t="s">
        <v>3</v>
      </c>
      <c r="X119" s="3">
        <f t="shared" si="15"/>
        <v>8.07</v>
      </c>
    </row>
    <row r="120" spans="1:24" hidden="1" x14ac:dyDescent="0.25">
      <c r="A120" s="7" t="s">
        <v>23</v>
      </c>
      <c r="C120" s="4" t="s">
        <v>82</v>
      </c>
      <c r="D120" s="4" t="s">
        <v>0</v>
      </c>
      <c r="E120" s="4" t="s">
        <v>30</v>
      </c>
      <c r="F120" s="4" t="s">
        <v>31</v>
      </c>
      <c r="G120" s="8" t="str">
        <f t="shared" si="12"/>
        <v>31/03/2021</v>
      </c>
      <c r="H120" s="4" t="s">
        <v>1</v>
      </c>
      <c r="I120" s="4" t="s">
        <v>0</v>
      </c>
      <c r="J120" s="7" t="s">
        <v>83</v>
      </c>
      <c r="K120" s="7" t="s">
        <v>28</v>
      </c>
      <c r="L120" s="9" t="str">
        <f>+VLOOKUP(K120,'[1]BASE DE PROVEEDORES'!$A:$B,2,0)</f>
        <v xml:space="preserve">ACTIVIDADES PETROLERAS DE EL SALVADOR S.A DE C.V </v>
      </c>
      <c r="M120" s="10">
        <v>1.95</v>
      </c>
      <c r="N120" s="7" t="s">
        <v>2</v>
      </c>
      <c r="O120" s="7" t="s">
        <v>2</v>
      </c>
      <c r="P120" s="10">
        <v>15.45</v>
      </c>
      <c r="Q120" s="29" t="s">
        <v>2</v>
      </c>
      <c r="R120" s="32" t="s">
        <v>2</v>
      </c>
      <c r="S120" s="32" t="s">
        <v>2</v>
      </c>
      <c r="T120" s="29">
        <f t="shared" si="13"/>
        <v>2.0085000000000002</v>
      </c>
      <c r="U120" s="29">
        <f t="shared" si="14"/>
        <v>19.4085</v>
      </c>
      <c r="V120" s="4" t="s">
        <v>3</v>
      </c>
      <c r="X120" s="3">
        <f t="shared" si="15"/>
        <v>2.0099999999999998</v>
      </c>
    </row>
    <row r="121" spans="1:24" hidden="1" x14ac:dyDescent="0.25">
      <c r="A121" s="7" t="s">
        <v>23</v>
      </c>
      <c r="C121" s="4" t="s">
        <v>82</v>
      </c>
      <c r="D121" s="4" t="s">
        <v>0</v>
      </c>
      <c r="E121" s="4" t="s">
        <v>30</v>
      </c>
      <c r="F121" s="4" t="s">
        <v>31</v>
      </c>
      <c r="G121" s="8" t="str">
        <f t="shared" si="12"/>
        <v>31/03/2021</v>
      </c>
      <c r="H121" s="4" t="s">
        <v>1</v>
      </c>
      <c r="I121" s="4" t="s">
        <v>0</v>
      </c>
      <c r="J121" s="7" t="s">
        <v>84</v>
      </c>
      <c r="K121" s="7" t="s">
        <v>28</v>
      </c>
      <c r="L121" s="9" t="str">
        <f>+VLOOKUP(K121,'[1]BASE DE PROVEEDORES'!$A:$B,2,0)</f>
        <v xml:space="preserve">ACTIVIDADES PETROLERAS DE EL SALVADOR S.A DE C.V </v>
      </c>
      <c r="M121" s="10">
        <v>5.54</v>
      </c>
      <c r="N121" s="7" t="s">
        <v>2</v>
      </c>
      <c r="O121" s="7" t="s">
        <v>2</v>
      </c>
      <c r="P121" s="10">
        <v>43.77</v>
      </c>
      <c r="Q121" s="29" t="s">
        <v>2</v>
      </c>
      <c r="R121" s="32" t="s">
        <v>2</v>
      </c>
      <c r="S121" s="32" t="s">
        <v>2</v>
      </c>
      <c r="T121" s="29">
        <f t="shared" si="13"/>
        <v>5.6901000000000002</v>
      </c>
      <c r="U121" s="29">
        <f t="shared" si="14"/>
        <v>55.000100000000003</v>
      </c>
      <c r="V121" s="4" t="s">
        <v>3</v>
      </c>
      <c r="X121" s="3">
        <f t="shared" si="15"/>
        <v>5.69</v>
      </c>
    </row>
    <row r="122" spans="1:24" hidden="1" x14ac:dyDescent="0.25">
      <c r="A122" s="7" t="s">
        <v>23</v>
      </c>
      <c r="C122" s="4" t="s">
        <v>82</v>
      </c>
      <c r="D122" s="4" t="s">
        <v>0</v>
      </c>
      <c r="E122" s="4" t="s">
        <v>30</v>
      </c>
      <c r="F122" s="4" t="s">
        <v>31</v>
      </c>
      <c r="G122" s="8" t="str">
        <f t="shared" si="12"/>
        <v>31/03/2021</v>
      </c>
      <c r="H122" s="4" t="s">
        <v>1</v>
      </c>
      <c r="I122" s="4" t="s">
        <v>0</v>
      </c>
      <c r="J122" s="7" t="s">
        <v>85</v>
      </c>
      <c r="K122" s="7" t="s">
        <v>28</v>
      </c>
      <c r="L122" s="9" t="str">
        <f>+VLOOKUP(K122,'[1]BASE DE PROVEEDORES'!$A:$B,2,0)</f>
        <v xml:space="preserve">ACTIVIDADES PETROLERAS DE EL SALVADOR S.A DE C.V </v>
      </c>
      <c r="M122" s="10">
        <v>3.51</v>
      </c>
      <c r="N122" s="7" t="s">
        <v>2</v>
      </c>
      <c r="O122" s="7" t="s">
        <v>2</v>
      </c>
      <c r="P122" s="10">
        <v>27.82</v>
      </c>
      <c r="Q122" s="29" t="s">
        <v>2</v>
      </c>
      <c r="R122" s="32" t="s">
        <v>2</v>
      </c>
      <c r="S122" s="32" t="s">
        <v>2</v>
      </c>
      <c r="T122" s="29">
        <f t="shared" si="13"/>
        <v>3.6166</v>
      </c>
      <c r="U122" s="29">
        <f t="shared" si="14"/>
        <v>34.946599999999997</v>
      </c>
      <c r="V122" s="4" t="s">
        <v>3</v>
      </c>
      <c r="X122" s="3">
        <f t="shared" si="15"/>
        <v>3.62</v>
      </c>
    </row>
    <row r="123" spans="1:24" hidden="1" x14ac:dyDescent="0.25">
      <c r="A123" s="7" t="s">
        <v>23</v>
      </c>
      <c r="C123" s="4" t="s">
        <v>82</v>
      </c>
      <c r="D123" s="4" t="s">
        <v>0</v>
      </c>
      <c r="E123" s="4" t="s">
        <v>30</v>
      </c>
      <c r="F123" s="4" t="s">
        <v>31</v>
      </c>
      <c r="G123" s="8" t="str">
        <f t="shared" si="12"/>
        <v>31/03/2021</v>
      </c>
      <c r="H123" s="4" t="s">
        <v>1</v>
      </c>
      <c r="I123" s="4" t="s">
        <v>0</v>
      </c>
      <c r="J123" s="7" t="s">
        <v>150</v>
      </c>
      <c r="K123" s="7" t="s">
        <v>151</v>
      </c>
      <c r="L123" s="9" t="str">
        <f>+VLOOKUP(K123,'[1]BASE DE PROVEEDORES'!$A:$B,2,0)</f>
        <v>REPUESTOS NOE S.A DE C.V.</v>
      </c>
      <c r="M123" s="10">
        <v>0</v>
      </c>
      <c r="N123" s="7" t="s">
        <v>2</v>
      </c>
      <c r="O123" s="7" t="s">
        <v>2</v>
      </c>
      <c r="P123" s="10">
        <v>40</v>
      </c>
      <c r="Q123" s="29" t="s">
        <v>2</v>
      </c>
      <c r="R123" s="32" t="s">
        <v>2</v>
      </c>
      <c r="S123" s="32" t="s">
        <v>2</v>
      </c>
      <c r="T123" s="29">
        <f t="shared" si="13"/>
        <v>5.2</v>
      </c>
      <c r="U123" s="29">
        <f t="shared" si="14"/>
        <v>45.2</v>
      </c>
      <c r="V123" s="4" t="s">
        <v>3</v>
      </c>
      <c r="X123" s="3">
        <f t="shared" si="15"/>
        <v>5.2</v>
      </c>
    </row>
    <row r="124" spans="1:24" hidden="1" x14ac:dyDescent="0.25">
      <c r="A124" s="7" t="s">
        <v>23</v>
      </c>
      <c r="C124" s="4" t="s">
        <v>82</v>
      </c>
      <c r="D124" s="4" t="s">
        <v>0</v>
      </c>
      <c r="E124" s="4" t="s">
        <v>30</v>
      </c>
      <c r="F124" s="4" t="s">
        <v>31</v>
      </c>
      <c r="G124" s="8" t="str">
        <f t="shared" si="12"/>
        <v>31/03/2021</v>
      </c>
      <c r="H124" s="4" t="s">
        <v>1</v>
      </c>
      <c r="I124" s="4" t="s">
        <v>0</v>
      </c>
      <c r="J124" s="7" t="s">
        <v>155</v>
      </c>
      <c r="K124" s="7" t="s">
        <v>20</v>
      </c>
      <c r="L124" s="9" t="str">
        <f>+VLOOKUP(K124,'[1]BASE DE PROVEEDORES'!$A:$B,2,0)</f>
        <v>ALMACENES VIDRI, S.A DE C.V.</v>
      </c>
      <c r="M124" s="10">
        <v>0</v>
      </c>
      <c r="N124" s="7" t="s">
        <v>2</v>
      </c>
      <c r="O124" s="7" t="s">
        <v>2</v>
      </c>
      <c r="P124" s="10">
        <v>25.84</v>
      </c>
      <c r="Q124" s="29" t="s">
        <v>2</v>
      </c>
      <c r="R124" s="32" t="s">
        <v>2</v>
      </c>
      <c r="S124" s="32" t="s">
        <v>2</v>
      </c>
      <c r="T124" s="29">
        <f t="shared" si="13"/>
        <v>3.3592</v>
      </c>
      <c r="U124" s="29">
        <f t="shared" si="14"/>
        <v>29.199200000000001</v>
      </c>
      <c r="V124" s="4" t="s">
        <v>3</v>
      </c>
      <c r="X124" s="3">
        <f t="shared" si="15"/>
        <v>3.36</v>
      </c>
    </row>
    <row r="125" spans="1:24" hidden="1" x14ac:dyDescent="0.25">
      <c r="A125" s="7" t="s">
        <v>23</v>
      </c>
      <c r="C125" s="4" t="s">
        <v>82</v>
      </c>
      <c r="D125" s="4" t="s">
        <v>0</v>
      </c>
      <c r="E125" s="4" t="s">
        <v>30</v>
      </c>
      <c r="F125" s="4" t="s">
        <v>31</v>
      </c>
      <c r="G125" s="8" t="str">
        <f t="shared" si="12"/>
        <v>31/03/2021</v>
      </c>
      <c r="H125" s="4" t="s">
        <v>1</v>
      </c>
      <c r="I125" s="4" t="s">
        <v>0</v>
      </c>
      <c r="J125" s="7" t="s">
        <v>193</v>
      </c>
      <c r="K125" s="7" t="s">
        <v>172</v>
      </c>
      <c r="L125" s="9" t="str">
        <f>+VLOOKUP(K125,'[1]BASE DE PROVEEDORES'!$A:$B,2,0)</f>
        <v>MANEJO INTEGRAL DE DESECHOS SOLIDOS SEM DE C.V.</v>
      </c>
      <c r="M125" s="10">
        <v>0</v>
      </c>
      <c r="N125" s="7" t="s">
        <v>2</v>
      </c>
      <c r="O125" s="7" t="s">
        <v>2</v>
      </c>
      <c r="P125" s="10">
        <v>70.2</v>
      </c>
      <c r="Q125" s="29" t="s">
        <v>2</v>
      </c>
      <c r="R125" s="32" t="s">
        <v>2</v>
      </c>
      <c r="S125" s="32" t="s">
        <v>2</v>
      </c>
      <c r="T125" s="29">
        <f t="shared" si="13"/>
        <v>9.1260000000000012</v>
      </c>
      <c r="U125" s="29">
        <f t="shared" si="14"/>
        <v>79.326000000000008</v>
      </c>
      <c r="V125" s="4" t="s">
        <v>3</v>
      </c>
      <c r="X125" s="3">
        <f t="shared" si="15"/>
        <v>9.1300000000000008</v>
      </c>
    </row>
    <row r="126" spans="1:24" hidden="1" x14ac:dyDescent="0.25">
      <c r="A126" s="7" t="s">
        <v>23</v>
      </c>
      <c r="C126" s="4" t="s">
        <v>82</v>
      </c>
      <c r="D126" s="4" t="s">
        <v>0</v>
      </c>
      <c r="E126" s="4" t="s">
        <v>30</v>
      </c>
      <c r="F126" s="4" t="s">
        <v>31</v>
      </c>
      <c r="G126" s="8" t="str">
        <f t="shared" si="12"/>
        <v>31/03/2021</v>
      </c>
      <c r="H126" s="4" t="s">
        <v>1</v>
      </c>
      <c r="I126" s="4" t="s">
        <v>0</v>
      </c>
      <c r="J126" s="7" t="s">
        <v>206</v>
      </c>
      <c r="K126" s="7" t="s">
        <v>117</v>
      </c>
      <c r="L126" s="78" t="str">
        <f>+VLOOKUP(K126,'[1]BASE DE PROVEEDORES'!$A:$B,2,0)</f>
        <v>PULSEM DE C.V.</v>
      </c>
      <c r="M126" s="10">
        <v>0</v>
      </c>
      <c r="N126" s="7" t="s">
        <v>2</v>
      </c>
      <c r="O126" s="7" t="s">
        <v>2</v>
      </c>
      <c r="P126" s="10">
        <v>1380.8</v>
      </c>
      <c r="Q126" s="29" t="s">
        <v>2</v>
      </c>
      <c r="R126" s="32" t="s">
        <v>2</v>
      </c>
      <c r="S126" s="32" t="s">
        <v>2</v>
      </c>
      <c r="T126" s="29">
        <f t="shared" si="13"/>
        <v>179.50399999999999</v>
      </c>
      <c r="U126" s="29">
        <f t="shared" si="14"/>
        <v>1560.3039999999999</v>
      </c>
      <c r="V126" s="4" t="s">
        <v>3</v>
      </c>
      <c r="X126" s="3">
        <f t="shared" si="15"/>
        <v>179.5</v>
      </c>
    </row>
    <row r="127" spans="1:24" hidden="1" x14ac:dyDescent="0.25">
      <c r="A127" s="7" t="s">
        <v>208</v>
      </c>
      <c r="B127" s="4" t="s">
        <v>557</v>
      </c>
      <c r="C127" s="5" t="str">
        <f t="shared" ref="C127:C158" si="16">+LEFT(B127,2)</f>
        <v>18</v>
      </c>
      <c r="D127" s="5" t="str">
        <f t="shared" ref="D127:D158" si="17">+RIGHT(B127,2)</f>
        <v>03</v>
      </c>
      <c r="E127" s="4" t="s">
        <v>30</v>
      </c>
      <c r="F127" s="4" t="s">
        <v>31</v>
      </c>
      <c r="G127" s="8" t="str">
        <f t="shared" ref="G127:G158" si="18">+C127&amp;F127&amp;D127&amp;F127&amp;E127</f>
        <v>18/03/2021</v>
      </c>
      <c r="H127" s="4" t="s">
        <v>1</v>
      </c>
      <c r="I127" s="4" t="s">
        <v>0</v>
      </c>
      <c r="J127" s="7" t="s">
        <v>558</v>
      </c>
      <c r="K127" s="7" t="s">
        <v>161</v>
      </c>
      <c r="L127" s="9" t="str">
        <f>+VLOOKUP(K127,'[1]BASE DE PROVEEDORES'!$A:$B,2,0)</f>
        <v>UNILLANTAS S.A DE C.V.</v>
      </c>
      <c r="M127" s="10">
        <v>0</v>
      </c>
      <c r="N127" s="7" t="s">
        <v>2</v>
      </c>
      <c r="O127" s="7" t="s">
        <v>2</v>
      </c>
      <c r="P127" s="10">
        <v>309.73</v>
      </c>
      <c r="Q127" s="29" t="s">
        <v>2</v>
      </c>
      <c r="R127" s="32" t="s">
        <v>2</v>
      </c>
      <c r="S127" s="32" t="s">
        <v>2</v>
      </c>
      <c r="T127" s="29">
        <v>40.26</v>
      </c>
      <c r="U127" s="29">
        <f t="shared" ref="U127:U158" si="19">+M127+P127+T127</f>
        <v>349.99</v>
      </c>
      <c r="V127" s="4" t="s">
        <v>3</v>
      </c>
      <c r="X127" s="3">
        <f t="shared" si="15"/>
        <v>40.26</v>
      </c>
    </row>
    <row r="128" spans="1:24" hidden="1" x14ac:dyDescent="0.25">
      <c r="A128" s="7" t="s">
        <v>208</v>
      </c>
      <c r="B128" s="4" t="s">
        <v>561</v>
      </c>
      <c r="C128" s="5" t="str">
        <f t="shared" si="16"/>
        <v>23</v>
      </c>
      <c r="D128" s="5" t="str">
        <f t="shared" si="17"/>
        <v>03</v>
      </c>
      <c r="E128" s="4" t="s">
        <v>30</v>
      </c>
      <c r="F128" s="4" t="s">
        <v>31</v>
      </c>
      <c r="G128" s="8" t="str">
        <f t="shared" si="18"/>
        <v>23/03/2021</v>
      </c>
      <c r="H128" s="4" t="s">
        <v>1</v>
      </c>
      <c r="I128" s="4" t="s">
        <v>0</v>
      </c>
      <c r="J128" s="7" t="s">
        <v>562</v>
      </c>
      <c r="K128" s="7" t="s">
        <v>112</v>
      </c>
      <c r="L128" s="9" t="str">
        <f>+VLOOKUP(K128,'[1]BASE DE PROVEEDORES'!$A:$B,2,0)</f>
        <v>ALPINA S.A DE C.V.</v>
      </c>
      <c r="M128" s="10">
        <v>0</v>
      </c>
      <c r="N128" s="7" t="s">
        <v>2</v>
      </c>
      <c r="O128" s="7" t="s">
        <v>2</v>
      </c>
      <c r="P128" s="10">
        <v>27.34</v>
      </c>
      <c r="Q128" s="29" t="s">
        <v>2</v>
      </c>
      <c r="R128" s="32" t="s">
        <v>2</v>
      </c>
      <c r="S128" s="32" t="s">
        <v>2</v>
      </c>
      <c r="T128" s="29">
        <v>3.55</v>
      </c>
      <c r="U128" s="29">
        <f t="shared" si="19"/>
        <v>30.89</v>
      </c>
      <c r="V128" s="4" t="s">
        <v>3</v>
      </c>
      <c r="X128" s="3">
        <f t="shared" si="15"/>
        <v>3.55</v>
      </c>
    </row>
    <row r="129" spans="1:24" hidden="1" x14ac:dyDescent="0.25">
      <c r="A129" s="7" t="s">
        <v>208</v>
      </c>
      <c r="B129" s="4" t="s">
        <v>561</v>
      </c>
      <c r="C129" s="5" t="str">
        <f t="shared" si="16"/>
        <v>23</v>
      </c>
      <c r="D129" s="5" t="str">
        <f t="shared" si="17"/>
        <v>03</v>
      </c>
      <c r="E129" s="4" t="s">
        <v>30</v>
      </c>
      <c r="F129" s="4" t="s">
        <v>31</v>
      </c>
      <c r="G129" s="8" t="str">
        <f t="shared" si="18"/>
        <v>23/03/2021</v>
      </c>
      <c r="H129" s="4" t="s">
        <v>1</v>
      </c>
      <c r="I129" s="4" t="s">
        <v>0</v>
      </c>
      <c r="J129" s="7" t="s">
        <v>563</v>
      </c>
      <c r="K129" s="7" t="s">
        <v>112</v>
      </c>
      <c r="L129" s="9" t="str">
        <f>+VLOOKUP(K129,'[1]BASE DE PROVEEDORES'!$A:$B,2,0)</f>
        <v>ALPINA S.A DE C.V.</v>
      </c>
      <c r="M129" s="10">
        <v>0</v>
      </c>
      <c r="N129" s="7" t="s">
        <v>2</v>
      </c>
      <c r="O129" s="7" t="s">
        <v>2</v>
      </c>
      <c r="P129" s="10">
        <v>196.86</v>
      </c>
      <c r="Q129" s="29" t="s">
        <v>2</v>
      </c>
      <c r="R129" s="32" t="s">
        <v>2</v>
      </c>
      <c r="S129" s="32" t="s">
        <v>2</v>
      </c>
      <c r="T129" s="29">
        <v>25.59</v>
      </c>
      <c r="U129" s="29">
        <f t="shared" si="19"/>
        <v>222.45000000000002</v>
      </c>
      <c r="V129" s="4" t="s">
        <v>3</v>
      </c>
      <c r="X129" s="3">
        <f t="shared" si="15"/>
        <v>25.59</v>
      </c>
    </row>
    <row r="130" spans="1:24" hidden="1" x14ac:dyDescent="0.25">
      <c r="A130" s="7" t="s">
        <v>208</v>
      </c>
      <c r="B130" s="4" t="s">
        <v>559</v>
      </c>
      <c r="C130" s="5" t="str">
        <f t="shared" si="16"/>
        <v>25</v>
      </c>
      <c r="D130" s="5" t="str">
        <f t="shared" si="17"/>
        <v>03</v>
      </c>
      <c r="E130" s="4" t="s">
        <v>30</v>
      </c>
      <c r="F130" s="4" t="s">
        <v>31</v>
      </c>
      <c r="G130" s="8" t="str">
        <f t="shared" si="18"/>
        <v>25/03/2021</v>
      </c>
      <c r="H130" s="4" t="s">
        <v>1</v>
      </c>
      <c r="I130" s="4" t="s">
        <v>0</v>
      </c>
      <c r="J130" s="7" t="s">
        <v>560</v>
      </c>
      <c r="K130" s="7" t="s">
        <v>112</v>
      </c>
      <c r="L130" s="9" t="str">
        <f>+VLOOKUP(K130,'[1]BASE DE PROVEEDORES'!$A:$B,2,0)</f>
        <v>ALPINA S.A DE C.V.</v>
      </c>
      <c r="M130" s="10">
        <v>0</v>
      </c>
      <c r="N130" s="7" t="s">
        <v>2</v>
      </c>
      <c r="O130" s="7" t="s">
        <v>2</v>
      </c>
      <c r="P130" s="10">
        <v>17.5</v>
      </c>
      <c r="Q130" s="29" t="s">
        <v>2</v>
      </c>
      <c r="R130" s="32" t="s">
        <v>2</v>
      </c>
      <c r="S130" s="32" t="s">
        <v>2</v>
      </c>
      <c r="T130" s="29">
        <v>2.2799999999999998</v>
      </c>
      <c r="U130" s="29">
        <f t="shared" si="19"/>
        <v>19.78</v>
      </c>
      <c r="V130" s="4" t="s">
        <v>3</v>
      </c>
      <c r="X130" s="3">
        <f t="shared" si="15"/>
        <v>2.2799999999999998</v>
      </c>
    </row>
    <row r="131" spans="1:24" hidden="1" x14ac:dyDescent="0.25">
      <c r="A131" s="7" t="s">
        <v>208</v>
      </c>
      <c r="B131" s="4" t="s">
        <v>571</v>
      </c>
      <c r="C131" s="5" t="str">
        <f t="shared" si="16"/>
        <v>31</v>
      </c>
      <c r="D131" s="5" t="str">
        <f t="shared" si="17"/>
        <v>03</v>
      </c>
      <c r="E131" s="4" t="s">
        <v>30</v>
      </c>
      <c r="F131" s="4" t="s">
        <v>31</v>
      </c>
      <c r="G131" s="8" t="str">
        <f t="shared" si="18"/>
        <v>31/03/2021</v>
      </c>
      <c r="H131" s="4" t="s">
        <v>1</v>
      </c>
      <c r="I131" s="4" t="s">
        <v>0</v>
      </c>
      <c r="J131" s="7" t="s">
        <v>572</v>
      </c>
      <c r="K131" s="7" t="s">
        <v>136</v>
      </c>
      <c r="L131" s="9" t="str">
        <f>+VLOOKUP(K131,'[1]BASE DE PROVEEDORES'!$A:$B,2,0)</f>
        <v>CTE TELECOM PERSONAL S.A DE C.V.</v>
      </c>
      <c r="M131" s="10">
        <v>0</v>
      </c>
      <c r="N131" s="7" t="s">
        <v>2</v>
      </c>
      <c r="O131" s="7" t="s">
        <v>2</v>
      </c>
      <c r="P131" s="10">
        <v>75.88</v>
      </c>
      <c r="Q131" s="29" t="s">
        <v>2</v>
      </c>
      <c r="R131" s="32" t="s">
        <v>2</v>
      </c>
      <c r="S131" s="32" t="s">
        <v>2</v>
      </c>
      <c r="T131" s="29">
        <v>9.86</v>
      </c>
      <c r="U131" s="29">
        <f t="shared" si="19"/>
        <v>85.74</v>
      </c>
      <c r="V131" s="4" t="s">
        <v>3</v>
      </c>
      <c r="X131" s="3">
        <f t="shared" si="15"/>
        <v>9.86</v>
      </c>
    </row>
    <row r="132" spans="1:24" hidden="1" x14ac:dyDescent="0.25">
      <c r="A132" s="7" t="s">
        <v>208</v>
      </c>
      <c r="B132" s="4" t="s">
        <v>207</v>
      </c>
      <c r="C132" s="5" t="str">
        <f t="shared" si="16"/>
        <v>01</v>
      </c>
      <c r="D132" s="5" t="str">
        <f t="shared" si="17"/>
        <v>04</v>
      </c>
      <c r="E132" s="4" t="s">
        <v>30</v>
      </c>
      <c r="F132" s="4" t="s">
        <v>31</v>
      </c>
      <c r="G132" s="8" t="str">
        <f t="shared" si="18"/>
        <v>01/04/2021</v>
      </c>
      <c r="H132" s="4" t="s">
        <v>1</v>
      </c>
      <c r="I132" s="4" t="s">
        <v>0</v>
      </c>
      <c r="J132" s="7" t="s">
        <v>569</v>
      </c>
      <c r="K132" s="7" t="s">
        <v>570</v>
      </c>
      <c r="L132" s="9" t="str">
        <f>+VLOOKUP(K132,'[1]BASE DE PROVEEDORES'!$A:$B,2,0)</f>
        <v>BODEGA DE COLORES SANTO S.A DE C.V.</v>
      </c>
      <c r="M132" s="10">
        <v>0</v>
      </c>
      <c r="N132" s="7" t="s">
        <v>2</v>
      </c>
      <c r="O132" s="7" t="s">
        <v>2</v>
      </c>
      <c r="P132" s="10">
        <v>9.07</v>
      </c>
      <c r="Q132" s="29" t="s">
        <v>2</v>
      </c>
      <c r="R132" s="32" t="s">
        <v>2</v>
      </c>
      <c r="S132" s="32" t="s">
        <v>2</v>
      </c>
      <c r="T132" s="29">
        <v>1.18</v>
      </c>
      <c r="U132" s="29">
        <f t="shared" si="19"/>
        <v>10.25</v>
      </c>
      <c r="V132" s="4" t="s">
        <v>3</v>
      </c>
      <c r="X132" s="3">
        <f t="shared" si="15"/>
        <v>1.18</v>
      </c>
    </row>
    <row r="133" spans="1:24" hidden="1" x14ac:dyDescent="0.25">
      <c r="A133" s="7" t="s">
        <v>208</v>
      </c>
      <c r="B133" s="4" t="s">
        <v>483</v>
      </c>
      <c r="C133" s="5" t="str">
        <f t="shared" si="16"/>
        <v>02</v>
      </c>
      <c r="D133" s="5" t="str">
        <f t="shared" si="17"/>
        <v>04</v>
      </c>
      <c r="E133" s="4" t="s">
        <v>30</v>
      </c>
      <c r="F133" s="4" t="s">
        <v>31</v>
      </c>
      <c r="G133" s="8" t="str">
        <f t="shared" si="18"/>
        <v>02/04/2021</v>
      </c>
      <c r="H133" s="4" t="s">
        <v>1</v>
      </c>
      <c r="I133" s="4" t="s">
        <v>0</v>
      </c>
      <c r="J133" s="7" t="s">
        <v>484</v>
      </c>
      <c r="K133" s="7" t="s">
        <v>45</v>
      </c>
      <c r="L133" s="9" t="str">
        <f>+VLOOKUP(K133,'[1]BASE DE PROVEEDORES'!$A:$B,2,0)</f>
        <v>JOSE RICARDO ANTONIO MOLINA</v>
      </c>
      <c r="M133" s="10">
        <f>6.87+3.43</f>
        <v>10.3</v>
      </c>
      <c r="N133" s="7" t="s">
        <v>2</v>
      </c>
      <c r="O133" s="7" t="s">
        <v>2</v>
      </c>
      <c r="P133" s="10">
        <v>81.150000000000006</v>
      </c>
      <c r="Q133" s="29" t="s">
        <v>2</v>
      </c>
      <c r="R133" s="32" t="s">
        <v>2</v>
      </c>
      <c r="S133" s="32" t="s">
        <v>2</v>
      </c>
      <c r="T133" s="29">
        <v>10.55</v>
      </c>
      <c r="U133" s="29">
        <f t="shared" si="19"/>
        <v>102</v>
      </c>
      <c r="V133" s="4" t="s">
        <v>3</v>
      </c>
      <c r="X133" s="3">
        <f t="shared" si="15"/>
        <v>10.55</v>
      </c>
    </row>
    <row r="134" spans="1:24" hidden="1" x14ac:dyDescent="0.25">
      <c r="A134" s="7" t="s">
        <v>208</v>
      </c>
      <c r="B134" s="4" t="s">
        <v>485</v>
      </c>
      <c r="C134" s="5" t="str">
        <f t="shared" si="16"/>
        <v>05</v>
      </c>
      <c r="D134" s="5" t="str">
        <f t="shared" si="17"/>
        <v>04</v>
      </c>
      <c r="E134" s="4" t="s">
        <v>30</v>
      </c>
      <c r="F134" s="4" t="s">
        <v>31</v>
      </c>
      <c r="G134" s="8" t="str">
        <f t="shared" si="18"/>
        <v>05/04/2021</v>
      </c>
      <c r="H134" s="4" t="s">
        <v>1</v>
      </c>
      <c r="I134" s="4" t="s">
        <v>0</v>
      </c>
      <c r="J134" s="7" t="s">
        <v>486</v>
      </c>
      <c r="K134" s="7" t="s">
        <v>45</v>
      </c>
      <c r="L134" s="9" t="str">
        <f>+VLOOKUP(K134,'[1]BASE DE PROVEEDORES'!$A:$B,2,0)</f>
        <v>JOSE RICARDO ANTONIO MOLINA</v>
      </c>
      <c r="M134" s="10">
        <f>6.19+3.09</f>
        <v>9.2800000000000011</v>
      </c>
      <c r="N134" s="7" t="s">
        <v>2</v>
      </c>
      <c r="O134" s="7" t="s">
        <v>2</v>
      </c>
      <c r="P134" s="10">
        <v>73.069999999999993</v>
      </c>
      <c r="Q134" s="29" t="s">
        <v>2</v>
      </c>
      <c r="R134" s="32" t="s">
        <v>2</v>
      </c>
      <c r="S134" s="32" t="s">
        <v>2</v>
      </c>
      <c r="T134" s="29">
        <v>9.5</v>
      </c>
      <c r="U134" s="29">
        <f t="shared" si="19"/>
        <v>91.85</v>
      </c>
      <c r="V134" s="4" t="s">
        <v>3</v>
      </c>
      <c r="X134" s="3">
        <f t="shared" si="15"/>
        <v>9.5</v>
      </c>
    </row>
    <row r="135" spans="1:24" hidden="1" x14ac:dyDescent="0.25">
      <c r="A135" s="7" t="s">
        <v>208</v>
      </c>
      <c r="B135" s="4" t="s">
        <v>485</v>
      </c>
      <c r="C135" s="5" t="str">
        <f t="shared" si="16"/>
        <v>05</v>
      </c>
      <c r="D135" s="5" t="str">
        <f t="shared" si="17"/>
        <v>04</v>
      </c>
      <c r="E135" s="4" t="s">
        <v>30</v>
      </c>
      <c r="F135" s="4" t="s">
        <v>31</v>
      </c>
      <c r="G135" s="8" t="str">
        <f t="shared" si="18"/>
        <v>05/04/2021</v>
      </c>
      <c r="H135" s="4" t="s">
        <v>1</v>
      </c>
      <c r="I135" s="4" t="s">
        <v>0</v>
      </c>
      <c r="J135" s="7" t="s">
        <v>487</v>
      </c>
      <c r="K135" s="7" t="s">
        <v>45</v>
      </c>
      <c r="L135" s="9" t="str">
        <f>+VLOOKUP(K135,'[1]BASE DE PROVEEDORES'!$A:$B,2,0)</f>
        <v>JOSE RICARDO ANTONIO MOLINA</v>
      </c>
      <c r="M135" s="10">
        <f>1.38+0.69</f>
        <v>2.0699999999999998</v>
      </c>
      <c r="N135" s="7" t="s">
        <v>2</v>
      </c>
      <c r="O135" s="7" t="s">
        <v>2</v>
      </c>
      <c r="P135" s="10">
        <v>16.350000000000001</v>
      </c>
      <c r="Q135" s="29" t="s">
        <v>2</v>
      </c>
      <c r="R135" s="32" t="s">
        <v>2</v>
      </c>
      <c r="S135" s="32" t="s">
        <v>2</v>
      </c>
      <c r="T135" s="29">
        <v>2.13</v>
      </c>
      <c r="U135" s="29">
        <f t="shared" si="19"/>
        <v>20.55</v>
      </c>
      <c r="V135" s="4" t="s">
        <v>3</v>
      </c>
      <c r="X135" s="3">
        <f t="shared" si="15"/>
        <v>2.13</v>
      </c>
    </row>
    <row r="136" spans="1:24" hidden="1" x14ac:dyDescent="0.25">
      <c r="A136" s="7" t="s">
        <v>208</v>
      </c>
      <c r="B136" s="4" t="s">
        <v>485</v>
      </c>
      <c r="C136" s="5" t="str">
        <f t="shared" si="16"/>
        <v>05</v>
      </c>
      <c r="D136" s="5" t="str">
        <f t="shared" si="17"/>
        <v>04</v>
      </c>
      <c r="E136" s="4" t="s">
        <v>30</v>
      </c>
      <c r="F136" s="4" t="s">
        <v>31</v>
      </c>
      <c r="G136" s="8" t="str">
        <f t="shared" si="18"/>
        <v>05/04/2021</v>
      </c>
      <c r="H136" s="4" t="s">
        <v>1</v>
      </c>
      <c r="I136" s="4" t="s">
        <v>0</v>
      </c>
      <c r="J136" s="7" t="s">
        <v>488</v>
      </c>
      <c r="K136" s="7" t="s">
        <v>45</v>
      </c>
      <c r="L136" s="9" t="str">
        <f>+VLOOKUP(K136,'[1]BASE DE PROVEEDORES'!$A:$B,2,0)</f>
        <v>JOSE RICARDO ANTONIO MOLINA</v>
      </c>
      <c r="M136" s="10">
        <f>8.02+4.01</f>
        <v>12.03</v>
      </c>
      <c r="N136" s="7" t="s">
        <v>2</v>
      </c>
      <c r="O136" s="7" t="s">
        <v>2</v>
      </c>
      <c r="P136" s="10">
        <v>94.71</v>
      </c>
      <c r="Q136" s="29" t="s">
        <v>2</v>
      </c>
      <c r="R136" s="32" t="s">
        <v>2</v>
      </c>
      <c r="S136" s="32" t="s">
        <v>2</v>
      </c>
      <c r="T136" s="29">
        <v>12.31</v>
      </c>
      <c r="U136" s="29">
        <f t="shared" si="19"/>
        <v>119.05</v>
      </c>
      <c r="V136" s="4" t="s">
        <v>3</v>
      </c>
      <c r="X136" s="3">
        <f t="shared" si="15"/>
        <v>12.31</v>
      </c>
    </row>
    <row r="137" spans="1:24" hidden="1" x14ac:dyDescent="0.25">
      <c r="A137" s="7" t="s">
        <v>208</v>
      </c>
      <c r="B137" s="4" t="s">
        <v>485</v>
      </c>
      <c r="C137" s="5" t="str">
        <f t="shared" si="16"/>
        <v>05</v>
      </c>
      <c r="D137" s="5" t="str">
        <f t="shared" si="17"/>
        <v>04</v>
      </c>
      <c r="E137" s="4" t="s">
        <v>30</v>
      </c>
      <c r="F137" s="4" t="s">
        <v>31</v>
      </c>
      <c r="G137" s="8" t="str">
        <f t="shared" si="18"/>
        <v>05/04/2021</v>
      </c>
      <c r="H137" s="4" t="s">
        <v>1</v>
      </c>
      <c r="I137" s="4" t="s">
        <v>0</v>
      </c>
      <c r="J137" s="7" t="s">
        <v>553</v>
      </c>
      <c r="K137" s="7" t="s">
        <v>28</v>
      </c>
      <c r="L137" s="9" t="str">
        <f>+VLOOKUP(K137,'[1]BASE DE PROVEEDORES'!$A:$B,2,0)</f>
        <v xml:space="preserve">ACTIVIDADES PETROLERAS DE EL SALVADOR S.A DE C.V </v>
      </c>
      <c r="M137" s="10">
        <f>1.25+0.63</f>
        <v>1.88</v>
      </c>
      <c r="N137" s="7" t="s">
        <v>2</v>
      </c>
      <c r="O137" s="7" t="s">
        <v>2</v>
      </c>
      <c r="P137" s="10">
        <v>17.29</v>
      </c>
      <c r="Q137" s="29" t="s">
        <v>2</v>
      </c>
      <c r="R137" s="32" t="s">
        <v>2</v>
      </c>
      <c r="S137" s="32" t="s">
        <v>2</v>
      </c>
      <c r="T137" s="29">
        <v>2.25</v>
      </c>
      <c r="U137" s="29">
        <f t="shared" si="19"/>
        <v>21.419999999999998</v>
      </c>
      <c r="V137" s="4" t="s">
        <v>3</v>
      </c>
      <c r="X137" s="3">
        <f t="shared" si="15"/>
        <v>2.25</v>
      </c>
    </row>
    <row r="138" spans="1:24" hidden="1" x14ac:dyDescent="0.25">
      <c r="A138" s="7" t="s">
        <v>208</v>
      </c>
      <c r="B138" s="4" t="s">
        <v>485</v>
      </c>
      <c r="C138" s="5" t="str">
        <f t="shared" si="16"/>
        <v>05</v>
      </c>
      <c r="D138" s="5" t="str">
        <f t="shared" si="17"/>
        <v>04</v>
      </c>
      <c r="E138" s="4" t="s">
        <v>30</v>
      </c>
      <c r="F138" s="4" t="s">
        <v>31</v>
      </c>
      <c r="G138" s="8" t="str">
        <f t="shared" si="18"/>
        <v>05/04/2021</v>
      </c>
      <c r="H138" s="4" t="s">
        <v>1</v>
      </c>
      <c r="I138" s="4" t="s">
        <v>0</v>
      </c>
      <c r="J138" s="7" t="s">
        <v>554</v>
      </c>
      <c r="K138" s="7" t="s">
        <v>28</v>
      </c>
      <c r="L138" s="9" t="str">
        <f>+VLOOKUP(K138,'[1]BASE DE PROVEEDORES'!$A:$B,2,0)</f>
        <v xml:space="preserve">ACTIVIDADES PETROLERAS DE EL SALVADOR S.A DE C.V </v>
      </c>
      <c r="M138" s="10">
        <f>2.37+1.19</f>
        <v>3.56</v>
      </c>
      <c r="N138" s="7" t="s">
        <v>2</v>
      </c>
      <c r="O138" s="7" t="s">
        <v>2</v>
      </c>
      <c r="P138" s="10">
        <v>28.1</v>
      </c>
      <c r="Q138" s="29" t="s">
        <v>2</v>
      </c>
      <c r="R138" s="32" t="s">
        <v>2</v>
      </c>
      <c r="S138" s="32" t="s">
        <v>2</v>
      </c>
      <c r="T138" s="29">
        <v>3.65</v>
      </c>
      <c r="U138" s="29">
        <f t="shared" si="19"/>
        <v>35.31</v>
      </c>
      <c r="V138" s="4" t="s">
        <v>3</v>
      </c>
      <c r="X138" s="3">
        <f t="shared" si="15"/>
        <v>3.65</v>
      </c>
    </row>
    <row r="139" spans="1:24" hidden="1" x14ac:dyDescent="0.25">
      <c r="A139" s="7" t="s">
        <v>208</v>
      </c>
      <c r="B139" s="4" t="s">
        <v>485</v>
      </c>
      <c r="C139" s="5" t="str">
        <f t="shared" si="16"/>
        <v>05</v>
      </c>
      <c r="D139" s="5" t="str">
        <f t="shared" si="17"/>
        <v>04</v>
      </c>
      <c r="E139" s="4" t="s">
        <v>30</v>
      </c>
      <c r="F139" s="4" t="s">
        <v>31</v>
      </c>
      <c r="G139" s="8" t="str">
        <f t="shared" si="18"/>
        <v>05/04/2021</v>
      </c>
      <c r="H139" s="4" t="s">
        <v>1</v>
      </c>
      <c r="I139" s="4" t="s">
        <v>0</v>
      </c>
      <c r="J139" s="7" t="s">
        <v>592</v>
      </c>
      <c r="K139" s="7" t="s">
        <v>172</v>
      </c>
      <c r="L139" s="9" t="str">
        <f>+VLOOKUP(K139,'[1]BASE DE PROVEEDORES'!$A:$B,2,0)</f>
        <v>MANEJO INTEGRAL DE DESECHOS SOLIDOS SEM DE C.V.</v>
      </c>
      <c r="M139" s="10">
        <v>0</v>
      </c>
      <c r="N139" s="7" t="s">
        <v>2</v>
      </c>
      <c r="O139" s="7" t="s">
        <v>2</v>
      </c>
      <c r="P139" s="10">
        <v>32.29</v>
      </c>
      <c r="Q139" s="29" t="s">
        <v>2</v>
      </c>
      <c r="R139" s="32" t="s">
        <v>2</v>
      </c>
      <c r="S139" s="32" t="s">
        <v>2</v>
      </c>
      <c r="T139" s="29">
        <v>4.2</v>
      </c>
      <c r="U139" s="29">
        <f t="shared" si="19"/>
        <v>36.49</v>
      </c>
      <c r="V139" s="4" t="s">
        <v>3</v>
      </c>
      <c r="X139" s="3">
        <f t="shared" si="15"/>
        <v>4.2</v>
      </c>
    </row>
    <row r="140" spans="1:24" hidden="1" x14ac:dyDescent="0.25">
      <c r="A140" s="7" t="s">
        <v>208</v>
      </c>
      <c r="B140" s="4" t="s">
        <v>485</v>
      </c>
      <c r="C140" s="5" t="str">
        <f t="shared" si="16"/>
        <v>05</v>
      </c>
      <c r="D140" s="5" t="str">
        <f t="shared" si="17"/>
        <v>04</v>
      </c>
      <c r="E140" s="4" t="s">
        <v>30</v>
      </c>
      <c r="F140" s="4" t="s">
        <v>31</v>
      </c>
      <c r="G140" s="8" t="str">
        <f t="shared" si="18"/>
        <v>05/04/2021</v>
      </c>
      <c r="H140" s="4" t="s">
        <v>1</v>
      </c>
      <c r="I140" s="4" t="s">
        <v>0</v>
      </c>
      <c r="J140" s="7" t="s">
        <v>602</v>
      </c>
      <c r="K140" s="7" t="s">
        <v>172</v>
      </c>
      <c r="L140" s="9" t="str">
        <f>+VLOOKUP(K140,'[1]BASE DE PROVEEDORES'!$A:$B,2,0)</f>
        <v>MANEJO INTEGRAL DE DESECHOS SOLIDOS SEM DE C.V.</v>
      </c>
      <c r="M140" s="10">
        <v>0</v>
      </c>
      <c r="N140" s="7" t="s">
        <v>2</v>
      </c>
      <c r="O140" s="7" t="s">
        <v>2</v>
      </c>
      <c r="P140" s="10">
        <v>48.85</v>
      </c>
      <c r="Q140" s="29" t="s">
        <v>2</v>
      </c>
      <c r="R140" s="32" t="s">
        <v>2</v>
      </c>
      <c r="S140" s="32" t="s">
        <v>2</v>
      </c>
      <c r="T140" s="29">
        <v>6.35</v>
      </c>
      <c r="U140" s="29">
        <f t="shared" si="19"/>
        <v>55.2</v>
      </c>
      <c r="V140" s="4" t="s">
        <v>3</v>
      </c>
      <c r="X140" s="3">
        <f t="shared" si="15"/>
        <v>6.35</v>
      </c>
    </row>
    <row r="141" spans="1:24" hidden="1" x14ac:dyDescent="0.25">
      <c r="A141" s="7" t="s">
        <v>208</v>
      </c>
      <c r="B141" s="4" t="s">
        <v>485</v>
      </c>
      <c r="C141" s="5" t="str">
        <f t="shared" si="16"/>
        <v>05</v>
      </c>
      <c r="D141" s="5" t="str">
        <f t="shared" si="17"/>
        <v>04</v>
      </c>
      <c r="E141" s="4" t="s">
        <v>30</v>
      </c>
      <c r="F141" s="4" t="s">
        <v>31</v>
      </c>
      <c r="G141" s="8" t="str">
        <f t="shared" si="18"/>
        <v>05/04/2021</v>
      </c>
      <c r="H141" s="4" t="s">
        <v>1</v>
      </c>
      <c r="I141" s="4" t="s">
        <v>0</v>
      </c>
      <c r="J141" s="7" t="s">
        <v>603</v>
      </c>
      <c r="K141" s="7" t="s">
        <v>172</v>
      </c>
      <c r="L141" s="9" t="str">
        <f>+VLOOKUP(K141,'[1]BASE DE PROVEEDORES'!$A:$B,2,0)</f>
        <v>MANEJO INTEGRAL DE DESECHOS SOLIDOS SEM DE C.V.</v>
      </c>
      <c r="M141" s="10">
        <v>0</v>
      </c>
      <c r="N141" s="7" t="s">
        <v>2</v>
      </c>
      <c r="O141" s="7" t="s">
        <v>2</v>
      </c>
      <c r="P141" s="10">
        <v>35.1</v>
      </c>
      <c r="Q141" s="29" t="s">
        <v>2</v>
      </c>
      <c r="R141" s="32" t="s">
        <v>2</v>
      </c>
      <c r="S141" s="32" t="s">
        <v>2</v>
      </c>
      <c r="T141" s="29">
        <v>4.5599999999999996</v>
      </c>
      <c r="U141" s="29">
        <f t="shared" si="19"/>
        <v>39.660000000000004</v>
      </c>
      <c r="V141" s="4" t="s">
        <v>3</v>
      </c>
      <c r="X141" s="3">
        <f t="shared" si="15"/>
        <v>4.5599999999999996</v>
      </c>
    </row>
    <row r="142" spans="1:24" hidden="1" x14ac:dyDescent="0.25">
      <c r="A142" s="7" t="s">
        <v>208</v>
      </c>
      <c r="B142" s="4" t="s">
        <v>485</v>
      </c>
      <c r="C142" s="5" t="str">
        <f t="shared" si="16"/>
        <v>05</v>
      </c>
      <c r="D142" s="5" t="str">
        <f t="shared" si="17"/>
        <v>04</v>
      </c>
      <c r="E142" s="4" t="s">
        <v>30</v>
      </c>
      <c r="F142" s="4" t="s">
        <v>31</v>
      </c>
      <c r="G142" s="8" t="str">
        <f t="shared" si="18"/>
        <v>05/04/2021</v>
      </c>
      <c r="H142" s="4" t="s">
        <v>1</v>
      </c>
      <c r="I142" s="4" t="s">
        <v>0</v>
      </c>
      <c r="J142" s="7" t="s">
        <v>615</v>
      </c>
      <c r="K142" s="7" t="s">
        <v>172</v>
      </c>
      <c r="L142" s="9" t="str">
        <f>+VLOOKUP(K142,'[1]BASE DE PROVEEDORES'!$A:$B,2,0)</f>
        <v>MANEJO INTEGRAL DE DESECHOS SOLIDOS SEM DE C.V.</v>
      </c>
      <c r="M142" s="10">
        <v>0</v>
      </c>
      <c r="N142" s="7" t="s">
        <v>2</v>
      </c>
      <c r="O142" s="7" t="s">
        <v>2</v>
      </c>
      <c r="P142" s="10">
        <v>56.26</v>
      </c>
      <c r="Q142" s="29" t="s">
        <v>2</v>
      </c>
      <c r="R142" s="32" t="s">
        <v>2</v>
      </c>
      <c r="S142" s="32" t="s">
        <v>2</v>
      </c>
      <c r="T142" s="29">
        <v>7.31</v>
      </c>
      <c r="U142" s="29">
        <f t="shared" si="19"/>
        <v>63.57</v>
      </c>
      <c r="V142" s="4" t="s">
        <v>3</v>
      </c>
      <c r="X142" s="3">
        <f t="shared" si="15"/>
        <v>7.31</v>
      </c>
    </row>
    <row r="143" spans="1:24" hidden="1" x14ac:dyDescent="0.25">
      <c r="A143" s="7" t="s">
        <v>208</v>
      </c>
      <c r="B143" s="4" t="s">
        <v>485</v>
      </c>
      <c r="C143" s="5" t="str">
        <f t="shared" si="16"/>
        <v>05</v>
      </c>
      <c r="D143" s="5" t="str">
        <f t="shared" si="17"/>
        <v>04</v>
      </c>
      <c r="E143" s="4" t="s">
        <v>30</v>
      </c>
      <c r="F143" s="4" t="s">
        <v>31</v>
      </c>
      <c r="G143" s="8" t="str">
        <f t="shared" si="18"/>
        <v>05/04/2021</v>
      </c>
      <c r="H143" s="4" t="s">
        <v>1</v>
      </c>
      <c r="I143" s="4" t="s">
        <v>0</v>
      </c>
      <c r="J143" s="7" t="s">
        <v>620</v>
      </c>
      <c r="K143" s="7" t="s">
        <v>172</v>
      </c>
      <c r="L143" s="9" t="str">
        <f>+VLOOKUP(K143,'[1]BASE DE PROVEEDORES'!$A:$B,2,0)</f>
        <v>MANEJO INTEGRAL DE DESECHOS SOLIDOS SEM DE C.V.</v>
      </c>
      <c r="M143" s="10">
        <v>0</v>
      </c>
      <c r="N143" s="7" t="s">
        <v>2</v>
      </c>
      <c r="O143" s="7" t="s">
        <v>2</v>
      </c>
      <c r="P143" s="10">
        <v>56.26</v>
      </c>
      <c r="Q143" s="29" t="s">
        <v>2</v>
      </c>
      <c r="R143" s="32" t="s">
        <v>2</v>
      </c>
      <c r="S143" s="32" t="s">
        <v>2</v>
      </c>
      <c r="T143" s="29">
        <v>7.31</v>
      </c>
      <c r="U143" s="29">
        <f t="shared" si="19"/>
        <v>63.57</v>
      </c>
      <c r="V143" s="4" t="s">
        <v>3</v>
      </c>
      <c r="X143" s="3">
        <f t="shared" si="15"/>
        <v>7.31</v>
      </c>
    </row>
    <row r="144" spans="1:24" hidden="1" x14ac:dyDescent="0.25">
      <c r="A144" s="7" t="s">
        <v>208</v>
      </c>
      <c r="B144" s="4" t="s">
        <v>485</v>
      </c>
      <c r="C144" s="5" t="str">
        <f t="shared" si="16"/>
        <v>05</v>
      </c>
      <c r="D144" s="5" t="str">
        <f t="shared" si="17"/>
        <v>04</v>
      </c>
      <c r="E144" s="4" t="s">
        <v>30</v>
      </c>
      <c r="F144" s="4" t="s">
        <v>31</v>
      </c>
      <c r="G144" s="8" t="str">
        <f t="shared" si="18"/>
        <v>05/04/2021</v>
      </c>
      <c r="H144" s="4" t="s">
        <v>1</v>
      </c>
      <c r="I144" s="4" t="s">
        <v>0</v>
      </c>
      <c r="J144" s="7" t="s">
        <v>621</v>
      </c>
      <c r="K144" s="7" t="s">
        <v>172</v>
      </c>
      <c r="L144" s="9" t="str">
        <f>+VLOOKUP(K144,'[1]BASE DE PROVEEDORES'!$A:$B,2,0)</f>
        <v>MANEJO INTEGRAL DE DESECHOS SOLIDOS SEM DE C.V.</v>
      </c>
      <c r="M144" s="10">
        <v>0</v>
      </c>
      <c r="N144" s="7" t="s">
        <v>2</v>
      </c>
      <c r="O144" s="7" t="s">
        <v>2</v>
      </c>
      <c r="P144" s="10">
        <v>56.26</v>
      </c>
      <c r="Q144" s="29" t="s">
        <v>2</v>
      </c>
      <c r="R144" s="32" t="s">
        <v>2</v>
      </c>
      <c r="S144" s="32" t="s">
        <v>2</v>
      </c>
      <c r="T144" s="29">
        <v>7.31</v>
      </c>
      <c r="U144" s="29">
        <f t="shared" si="19"/>
        <v>63.57</v>
      </c>
      <c r="V144" s="4" t="s">
        <v>3</v>
      </c>
      <c r="X144" s="3">
        <f t="shared" si="15"/>
        <v>7.31</v>
      </c>
    </row>
    <row r="145" spans="1:24" hidden="1" x14ac:dyDescent="0.25">
      <c r="A145" s="7" t="s">
        <v>208</v>
      </c>
      <c r="B145" s="4" t="s">
        <v>551</v>
      </c>
      <c r="C145" s="5" t="str">
        <f t="shared" si="16"/>
        <v>06</v>
      </c>
      <c r="D145" s="5" t="str">
        <f t="shared" si="17"/>
        <v>04</v>
      </c>
      <c r="E145" s="4" t="s">
        <v>30</v>
      </c>
      <c r="F145" s="4" t="s">
        <v>31</v>
      </c>
      <c r="G145" s="8" t="str">
        <f t="shared" si="18"/>
        <v>06/04/2021</v>
      </c>
      <c r="H145" s="4" t="s">
        <v>1</v>
      </c>
      <c r="I145" s="4" t="s">
        <v>0</v>
      </c>
      <c r="J145" s="7" t="s">
        <v>552</v>
      </c>
      <c r="K145" s="7" t="s">
        <v>28</v>
      </c>
      <c r="L145" s="9" t="str">
        <f>+VLOOKUP(K145,'[1]BASE DE PROVEEDORES'!$A:$B,2,0)</f>
        <v xml:space="preserve">ACTIVIDADES PETROLERAS DE EL SALVADOR S.A DE C.V </v>
      </c>
      <c r="M145" s="10">
        <f>3.53+1.76</f>
        <v>5.29</v>
      </c>
      <c r="N145" s="7" t="s">
        <v>2</v>
      </c>
      <c r="O145" s="7" t="s">
        <v>2</v>
      </c>
      <c r="P145" s="10">
        <v>41.16</v>
      </c>
      <c r="Q145" s="29" t="s">
        <v>2</v>
      </c>
      <c r="R145" s="32" t="s">
        <v>2</v>
      </c>
      <c r="S145" s="32" t="s">
        <v>2</v>
      </c>
      <c r="T145" s="29">
        <v>5.35</v>
      </c>
      <c r="U145" s="29">
        <f t="shared" si="19"/>
        <v>51.8</v>
      </c>
      <c r="V145" s="4" t="s">
        <v>3</v>
      </c>
      <c r="X145" s="3">
        <f t="shared" si="15"/>
        <v>5.35</v>
      </c>
    </row>
    <row r="146" spans="1:24" hidden="1" x14ac:dyDescent="0.25">
      <c r="A146" s="7" t="s">
        <v>208</v>
      </c>
      <c r="B146" s="4" t="s">
        <v>551</v>
      </c>
      <c r="C146" s="5" t="str">
        <f t="shared" si="16"/>
        <v>06</v>
      </c>
      <c r="D146" s="5" t="str">
        <f t="shared" si="17"/>
        <v>04</v>
      </c>
      <c r="E146" s="4" t="s">
        <v>30</v>
      </c>
      <c r="F146" s="4" t="s">
        <v>31</v>
      </c>
      <c r="G146" s="8" t="str">
        <f t="shared" si="18"/>
        <v>06/04/2021</v>
      </c>
      <c r="H146" s="4" t="s">
        <v>1</v>
      </c>
      <c r="I146" s="4" t="s">
        <v>0</v>
      </c>
      <c r="J146" s="7" t="s">
        <v>574</v>
      </c>
      <c r="K146" s="7" t="s">
        <v>575</v>
      </c>
      <c r="L146" s="9" t="str">
        <f>+VLOOKUP(K146,'[1]BASE DE PROVEEDORES'!$A:$B,2,0)</f>
        <v>TELEMOVIL EL SALVADOR S.A DE C.V.</v>
      </c>
      <c r="M146" s="10">
        <v>0</v>
      </c>
      <c r="N146" s="7" t="s">
        <v>2</v>
      </c>
      <c r="O146" s="7" t="s">
        <v>2</v>
      </c>
      <c r="P146" s="10">
        <v>28.93</v>
      </c>
      <c r="Q146" s="29" t="s">
        <v>2</v>
      </c>
      <c r="R146" s="32" t="s">
        <v>2</v>
      </c>
      <c r="S146" s="32" t="s">
        <v>2</v>
      </c>
      <c r="T146" s="29">
        <v>3.76</v>
      </c>
      <c r="U146" s="29">
        <f t="shared" si="19"/>
        <v>32.69</v>
      </c>
      <c r="V146" s="4" t="s">
        <v>3</v>
      </c>
      <c r="X146" s="3">
        <f t="shared" si="15"/>
        <v>3.76</v>
      </c>
    </row>
    <row r="147" spans="1:24" hidden="1" x14ac:dyDescent="0.25">
      <c r="A147" s="7" t="s">
        <v>208</v>
      </c>
      <c r="B147" s="4" t="s">
        <v>551</v>
      </c>
      <c r="C147" s="5" t="str">
        <f t="shared" si="16"/>
        <v>06</v>
      </c>
      <c r="D147" s="5" t="str">
        <f t="shared" si="17"/>
        <v>04</v>
      </c>
      <c r="E147" s="4" t="s">
        <v>30</v>
      </c>
      <c r="F147" s="4" t="s">
        <v>31</v>
      </c>
      <c r="G147" s="8" t="str">
        <f t="shared" si="18"/>
        <v>06/04/2021</v>
      </c>
      <c r="H147" s="4" t="s">
        <v>1</v>
      </c>
      <c r="I147" s="4" t="s">
        <v>0</v>
      </c>
      <c r="J147" s="7" t="s">
        <v>593</v>
      </c>
      <c r="K147" s="7" t="s">
        <v>172</v>
      </c>
      <c r="L147" s="9" t="str">
        <f>+VLOOKUP(K147,'[1]BASE DE PROVEEDORES'!$A:$B,2,0)</f>
        <v>MANEJO INTEGRAL DE DESECHOS SOLIDOS SEM DE C.V.</v>
      </c>
      <c r="M147" s="10">
        <v>0</v>
      </c>
      <c r="N147" s="7" t="s">
        <v>2</v>
      </c>
      <c r="O147" s="7" t="s">
        <v>2</v>
      </c>
      <c r="P147" s="10">
        <v>56.44</v>
      </c>
      <c r="Q147" s="29" t="s">
        <v>2</v>
      </c>
      <c r="R147" s="32" t="s">
        <v>2</v>
      </c>
      <c r="S147" s="32" t="s">
        <v>2</v>
      </c>
      <c r="T147" s="29">
        <v>7.34</v>
      </c>
      <c r="U147" s="29">
        <f t="shared" si="19"/>
        <v>63.78</v>
      </c>
      <c r="V147" s="4" t="s">
        <v>3</v>
      </c>
      <c r="X147" s="3">
        <f t="shared" si="15"/>
        <v>7.34</v>
      </c>
    </row>
    <row r="148" spans="1:24" hidden="1" x14ac:dyDescent="0.25">
      <c r="A148" s="7" t="s">
        <v>208</v>
      </c>
      <c r="B148" s="4" t="s">
        <v>551</v>
      </c>
      <c r="C148" s="5" t="str">
        <f t="shared" si="16"/>
        <v>06</v>
      </c>
      <c r="D148" s="5" t="str">
        <f t="shared" si="17"/>
        <v>04</v>
      </c>
      <c r="E148" s="4" t="s">
        <v>30</v>
      </c>
      <c r="F148" s="4" t="s">
        <v>31</v>
      </c>
      <c r="G148" s="8" t="str">
        <f t="shared" si="18"/>
        <v>06/04/2021</v>
      </c>
      <c r="H148" s="4" t="s">
        <v>1</v>
      </c>
      <c r="I148" s="4" t="s">
        <v>0</v>
      </c>
      <c r="J148" s="7" t="s">
        <v>604</v>
      </c>
      <c r="K148" s="7" t="s">
        <v>172</v>
      </c>
      <c r="L148" s="9" t="str">
        <f>+VLOOKUP(K148,'[1]BASE DE PROVEEDORES'!$A:$B,2,0)</f>
        <v>MANEJO INTEGRAL DE DESECHOS SOLIDOS SEM DE C.V.</v>
      </c>
      <c r="M148" s="10">
        <v>0</v>
      </c>
      <c r="N148" s="7" t="s">
        <v>2</v>
      </c>
      <c r="O148" s="7" t="s">
        <v>2</v>
      </c>
      <c r="P148" s="10">
        <v>73.56</v>
      </c>
      <c r="Q148" s="29" t="s">
        <v>2</v>
      </c>
      <c r="R148" s="32" t="s">
        <v>2</v>
      </c>
      <c r="S148" s="32" t="s">
        <v>2</v>
      </c>
      <c r="T148" s="29">
        <v>9.56</v>
      </c>
      <c r="U148" s="29">
        <f t="shared" si="19"/>
        <v>83.12</v>
      </c>
      <c r="V148" s="4" t="s">
        <v>3</v>
      </c>
      <c r="X148" s="3">
        <f t="shared" si="15"/>
        <v>9.56</v>
      </c>
    </row>
    <row r="149" spans="1:24" hidden="1" x14ac:dyDescent="0.25">
      <c r="A149" s="7" t="s">
        <v>208</v>
      </c>
      <c r="B149" s="4" t="s">
        <v>489</v>
      </c>
      <c r="C149" s="5" t="str">
        <f t="shared" si="16"/>
        <v>07</v>
      </c>
      <c r="D149" s="5" t="str">
        <f t="shared" si="17"/>
        <v>04</v>
      </c>
      <c r="E149" s="4" t="s">
        <v>30</v>
      </c>
      <c r="F149" s="4" t="s">
        <v>31</v>
      </c>
      <c r="G149" s="8" t="str">
        <f t="shared" si="18"/>
        <v>07/04/2021</v>
      </c>
      <c r="H149" s="4" t="s">
        <v>1</v>
      </c>
      <c r="I149" s="4" t="s">
        <v>0</v>
      </c>
      <c r="J149" s="7" t="s">
        <v>490</v>
      </c>
      <c r="K149" s="7" t="s">
        <v>45</v>
      </c>
      <c r="L149" s="9" t="str">
        <f>+VLOOKUP(K149,'[1]BASE DE PROVEEDORES'!$A:$B,2,0)</f>
        <v>JOSE RICARDO ANTONIO MOLINA</v>
      </c>
      <c r="M149" s="10">
        <f>7.25+3.62</f>
        <v>10.870000000000001</v>
      </c>
      <c r="N149" s="7" t="s">
        <v>2</v>
      </c>
      <c r="O149" s="7" t="s">
        <v>2</v>
      </c>
      <c r="P149" s="10">
        <v>84.36</v>
      </c>
      <c r="Q149" s="29" t="s">
        <v>2</v>
      </c>
      <c r="R149" s="32" t="s">
        <v>2</v>
      </c>
      <c r="S149" s="32" t="s">
        <v>2</v>
      </c>
      <c r="T149" s="29">
        <v>10.97</v>
      </c>
      <c r="U149" s="29">
        <f t="shared" si="19"/>
        <v>106.2</v>
      </c>
      <c r="V149" s="4" t="s">
        <v>3</v>
      </c>
      <c r="X149" s="3">
        <f t="shared" si="15"/>
        <v>10.97</v>
      </c>
    </row>
    <row r="150" spans="1:24" hidden="1" x14ac:dyDescent="0.25">
      <c r="A150" s="7" t="s">
        <v>208</v>
      </c>
      <c r="B150" s="4" t="s">
        <v>489</v>
      </c>
      <c r="C150" s="5" t="str">
        <f t="shared" si="16"/>
        <v>07</v>
      </c>
      <c r="D150" s="5" t="str">
        <f t="shared" si="17"/>
        <v>04</v>
      </c>
      <c r="E150" s="4" t="s">
        <v>30</v>
      </c>
      <c r="F150" s="4" t="s">
        <v>31</v>
      </c>
      <c r="G150" s="8" t="str">
        <f t="shared" si="18"/>
        <v>07/04/2021</v>
      </c>
      <c r="H150" s="4" t="s">
        <v>1</v>
      </c>
      <c r="I150" s="4" t="s">
        <v>0</v>
      </c>
      <c r="J150" s="7" t="s">
        <v>550</v>
      </c>
      <c r="K150" s="7" t="s">
        <v>28</v>
      </c>
      <c r="L150" s="9" t="str">
        <f>+VLOOKUP(K150,'[1]BASE DE PROVEEDORES'!$A:$B,2,0)</f>
        <v xml:space="preserve">ACTIVIDADES PETROLERAS DE EL SALVADOR S.A DE C.V </v>
      </c>
      <c r="M150" s="10">
        <f>2.18+1.09</f>
        <v>3.2700000000000005</v>
      </c>
      <c r="N150" s="7" t="s">
        <v>2</v>
      </c>
      <c r="O150" s="7" t="s">
        <v>2</v>
      </c>
      <c r="P150" s="10">
        <v>25.39</v>
      </c>
      <c r="Q150" s="29" t="s">
        <v>2</v>
      </c>
      <c r="R150" s="32" t="s">
        <v>2</v>
      </c>
      <c r="S150" s="32" t="s">
        <v>2</v>
      </c>
      <c r="T150" s="29">
        <v>3.3</v>
      </c>
      <c r="U150" s="29">
        <f t="shared" si="19"/>
        <v>31.96</v>
      </c>
      <c r="V150" s="4" t="s">
        <v>3</v>
      </c>
      <c r="X150" s="3">
        <f t="shared" si="15"/>
        <v>3.3</v>
      </c>
    </row>
    <row r="151" spans="1:24" hidden="1" x14ac:dyDescent="0.25">
      <c r="A151" s="7" t="s">
        <v>208</v>
      </c>
      <c r="B151" s="4" t="s">
        <v>489</v>
      </c>
      <c r="C151" s="5" t="str">
        <f t="shared" si="16"/>
        <v>07</v>
      </c>
      <c r="D151" s="5" t="str">
        <f t="shared" si="17"/>
        <v>04</v>
      </c>
      <c r="E151" s="4" t="s">
        <v>30</v>
      </c>
      <c r="F151" s="4" t="s">
        <v>31</v>
      </c>
      <c r="G151" s="8" t="str">
        <f t="shared" si="18"/>
        <v>07/04/2021</v>
      </c>
      <c r="H151" s="4" t="s">
        <v>1</v>
      </c>
      <c r="I151" s="4" t="s">
        <v>0</v>
      </c>
      <c r="J151" s="7" t="s">
        <v>564</v>
      </c>
      <c r="K151" s="7" t="s">
        <v>565</v>
      </c>
      <c r="L151" s="9" t="str">
        <f>+VLOOKUP(K151,'[1]BASE DE PROVEEDORES'!$A:$B,2,0)</f>
        <v>DINA DEL CARMEN SARAVIA DE ARGUETA</v>
      </c>
      <c r="M151" s="10">
        <v>0</v>
      </c>
      <c r="N151" s="7" t="s">
        <v>2</v>
      </c>
      <c r="O151" s="7" t="s">
        <v>2</v>
      </c>
      <c r="P151" s="10">
        <v>17.7</v>
      </c>
      <c r="Q151" s="29" t="s">
        <v>2</v>
      </c>
      <c r="R151" s="32" t="s">
        <v>2</v>
      </c>
      <c r="S151" s="32" t="s">
        <v>2</v>
      </c>
      <c r="T151" s="29">
        <v>2.2999999999999998</v>
      </c>
      <c r="U151" s="29">
        <f t="shared" si="19"/>
        <v>20</v>
      </c>
      <c r="V151" s="4" t="s">
        <v>3</v>
      </c>
      <c r="X151" s="3">
        <f t="shared" si="15"/>
        <v>2.2999999999999998</v>
      </c>
    </row>
    <row r="152" spans="1:24" hidden="1" x14ac:dyDescent="0.25">
      <c r="A152" s="7" t="s">
        <v>208</v>
      </c>
      <c r="B152" s="4" t="s">
        <v>491</v>
      </c>
      <c r="C152" s="5" t="str">
        <f t="shared" si="16"/>
        <v>08</v>
      </c>
      <c r="D152" s="5" t="str">
        <f t="shared" si="17"/>
        <v>04</v>
      </c>
      <c r="E152" s="4" t="s">
        <v>30</v>
      </c>
      <c r="F152" s="4" t="s">
        <v>31</v>
      </c>
      <c r="G152" s="8" t="str">
        <f t="shared" si="18"/>
        <v>08/04/2021</v>
      </c>
      <c r="H152" s="4" t="s">
        <v>1</v>
      </c>
      <c r="I152" s="4" t="s">
        <v>0</v>
      </c>
      <c r="J152" s="7" t="s">
        <v>492</v>
      </c>
      <c r="K152" s="7" t="s">
        <v>45</v>
      </c>
      <c r="L152" s="9" t="str">
        <f>+VLOOKUP(K152,'[1]BASE DE PROVEEDORES'!$A:$B,2,0)</f>
        <v>JOSE RICARDO ANTONIO MOLINA</v>
      </c>
      <c r="M152" s="10">
        <f>6.77+3.38</f>
        <v>10.149999999999999</v>
      </c>
      <c r="N152" s="7" t="s">
        <v>2</v>
      </c>
      <c r="O152" s="7" t="s">
        <v>2</v>
      </c>
      <c r="P152" s="10">
        <v>78.739999999999995</v>
      </c>
      <c r="Q152" s="29" t="s">
        <v>2</v>
      </c>
      <c r="R152" s="32" t="s">
        <v>2</v>
      </c>
      <c r="S152" s="32" t="s">
        <v>2</v>
      </c>
      <c r="T152" s="29">
        <v>10.24</v>
      </c>
      <c r="U152" s="29">
        <f t="shared" si="19"/>
        <v>99.129999999999981</v>
      </c>
      <c r="V152" s="4" t="s">
        <v>3</v>
      </c>
      <c r="X152" s="3">
        <f t="shared" si="15"/>
        <v>10.24</v>
      </c>
    </row>
    <row r="153" spans="1:24" hidden="1" x14ac:dyDescent="0.25">
      <c r="A153" s="7" t="s">
        <v>208</v>
      </c>
      <c r="B153" s="4" t="s">
        <v>491</v>
      </c>
      <c r="C153" s="5" t="str">
        <f t="shared" si="16"/>
        <v>08</v>
      </c>
      <c r="D153" s="5" t="str">
        <f t="shared" si="17"/>
        <v>04</v>
      </c>
      <c r="E153" s="4" t="s">
        <v>30</v>
      </c>
      <c r="F153" s="4" t="s">
        <v>31</v>
      </c>
      <c r="G153" s="8" t="str">
        <f t="shared" si="18"/>
        <v>08/04/2021</v>
      </c>
      <c r="H153" s="4" t="s">
        <v>1</v>
      </c>
      <c r="I153" s="4" t="s">
        <v>0</v>
      </c>
      <c r="J153" s="7" t="s">
        <v>605</v>
      </c>
      <c r="K153" s="7" t="s">
        <v>172</v>
      </c>
      <c r="L153" s="9" t="str">
        <f>+VLOOKUP(K153,'[1]BASE DE PROVEEDORES'!$A:$B,2,0)</f>
        <v>MANEJO INTEGRAL DE DESECHOS SOLIDOS SEM DE C.V.</v>
      </c>
      <c r="M153" s="10">
        <v>0</v>
      </c>
      <c r="N153" s="7" t="s">
        <v>2</v>
      </c>
      <c r="O153" s="7" t="s">
        <v>2</v>
      </c>
      <c r="P153" s="10">
        <v>48.57</v>
      </c>
      <c r="Q153" s="29" t="s">
        <v>2</v>
      </c>
      <c r="R153" s="32" t="s">
        <v>2</v>
      </c>
      <c r="S153" s="32" t="s">
        <v>2</v>
      </c>
      <c r="T153" s="29">
        <v>6.31</v>
      </c>
      <c r="U153" s="29">
        <f t="shared" si="19"/>
        <v>54.88</v>
      </c>
      <c r="V153" s="4" t="s">
        <v>3</v>
      </c>
      <c r="X153" s="3">
        <f t="shared" si="15"/>
        <v>6.31</v>
      </c>
    </row>
    <row r="154" spans="1:24" hidden="1" x14ac:dyDescent="0.25">
      <c r="A154" s="7" t="s">
        <v>208</v>
      </c>
      <c r="B154" s="4" t="s">
        <v>209</v>
      </c>
      <c r="C154" s="5" t="str">
        <f t="shared" si="16"/>
        <v>09</v>
      </c>
      <c r="D154" s="5" t="str">
        <f t="shared" si="17"/>
        <v>04</v>
      </c>
      <c r="E154" s="4" t="s">
        <v>30</v>
      </c>
      <c r="F154" s="4" t="s">
        <v>31</v>
      </c>
      <c r="G154" s="8" t="str">
        <f t="shared" si="18"/>
        <v>09/04/2021</v>
      </c>
      <c r="H154" s="4" t="s">
        <v>1</v>
      </c>
      <c r="I154" s="4" t="s">
        <v>0</v>
      </c>
      <c r="J154" s="7" t="s">
        <v>210</v>
      </c>
      <c r="K154" s="7" t="s">
        <v>211</v>
      </c>
      <c r="L154" s="9" t="str">
        <f>+VLOOKUP(K154,'[1]BASE DE PROVEEDORES'!$A:$B,2,0)</f>
        <v>SEGUROS E INVERSIONES S.A</v>
      </c>
      <c r="M154" s="10">
        <v>0</v>
      </c>
      <c r="N154" s="7" t="s">
        <v>2</v>
      </c>
      <c r="O154" s="7" t="s">
        <v>2</v>
      </c>
      <c r="P154" s="10">
        <v>158.63999999999999</v>
      </c>
      <c r="Q154" s="29" t="s">
        <v>2</v>
      </c>
      <c r="R154" s="32" t="s">
        <v>2</v>
      </c>
      <c r="S154" s="32" t="s">
        <v>2</v>
      </c>
      <c r="T154" s="29">
        <v>20.62</v>
      </c>
      <c r="U154" s="29">
        <f t="shared" si="19"/>
        <v>179.26</v>
      </c>
      <c r="V154" s="4" t="s">
        <v>3</v>
      </c>
      <c r="X154" s="3">
        <f t="shared" si="15"/>
        <v>20.62</v>
      </c>
    </row>
    <row r="155" spans="1:24" hidden="1" x14ac:dyDescent="0.25">
      <c r="A155" s="7" t="s">
        <v>208</v>
      </c>
      <c r="B155" s="4" t="s">
        <v>209</v>
      </c>
      <c r="C155" s="5" t="str">
        <f t="shared" si="16"/>
        <v>09</v>
      </c>
      <c r="D155" s="5" t="str">
        <f t="shared" si="17"/>
        <v>04</v>
      </c>
      <c r="E155" s="4" t="s">
        <v>30</v>
      </c>
      <c r="F155" s="4" t="s">
        <v>31</v>
      </c>
      <c r="G155" s="8" t="str">
        <f t="shared" si="18"/>
        <v>09/04/2021</v>
      </c>
      <c r="H155" s="4" t="s">
        <v>1</v>
      </c>
      <c r="I155" s="4" t="s">
        <v>0</v>
      </c>
      <c r="J155" s="7" t="s">
        <v>493</v>
      </c>
      <c r="K155" s="7" t="s">
        <v>45</v>
      </c>
      <c r="L155" s="9" t="str">
        <f>+VLOOKUP(K155,'[1]BASE DE PROVEEDORES'!$A:$B,2,0)</f>
        <v>JOSE RICARDO ANTONIO MOLINA</v>
      </c>
      <c r="M155" s="10">
        <f>1.37+0.68</f>
        <v>2.0500000000000003</v>
      </c>
      <c r="N155" s="7" t="s">
        <v>2</v>
      </c>
      <c r="O155" s="7" t="s">
        <v>2</v>
      </c>
      <c r="P155" s="10">
        <v>15.89</v>
      </c>
      <c r="Q155" s="29" t="s">
        <v>2</v>
      </c>
      <c r="R155" s="32" t="s">
        <v>2</v>
      </c>
      <c r="S155" s="32" t="s">
        <v>2</v>
      </c>
      <c r="T155" s="29">
        <v>2.0699999999999998</v>
      </c>
      <c r="U155" s="29">
        <f t="shared" si="19"/>
        <v>20.010000000000002</v>
      </c>
      <c r="V155" s="4" t="s">
        <v>3</v>
      </c>
      <c r="X155" s="3">
        <f t="shared" si="15"/>
        <v>2.0699999999999998</v>
      </c>
    </row>
    <row r="156" spans="1:24" hidden="1" x14ac:dyDescent="0.25">
      <c r="A156" s="7" t="s">
        <v>208</v>
      </c>
      <c r="B156" s="4" t="s">
        <v>209</v>
      </c>
      <c r="C156" s="5" t="str">
        <f t="shared" si="16"/>
        <v>09</v>
      </c>
      <c r="D156" s="5" t="str">
        <f t="shared" si="17"/>
        <v>04</v>
      </c>
      <c r="E156" s="4" t="s">
        <v>30</v>
      </c>
      <c r="F156" s="4" t="s">
        <v>31</v>
      </c>
      <c r="G156" s="8" t="str">
        <f t="shared" si="18"/>
        <v>09/04/2021</v>
      </c>
      <c r="H156" s="4" t="s">
        <v>1</v>
      </c>
      <c r="I156" s="4" t="s">
        <v>0</v>
      </c>
      <c r="J156" s="7" t="s">
        <v>494</v>
      </c>
      <c r="K156" s="7" t="s">
        <v>45</v>
      </c>
      <c r="L156" s="9" t="str">
        <f>+VLOOKUP(K156,'[1]BASE DE PROVEEDORES'!$A:$B,2,0)</f>
        <v>JOSE RICARDO ANTONIO MOLINA</v>
      </c>
      <c r="M156" s="10">
        <f>7.17+3.58</f>
        <v>10.75</v>
      </c>
      <c r="N156" s="7" t="s">
        <v>2</v>
      </c>
      <c r="O156" s="7" t="s">
        <v>2</v>
      </c>
      <c r="P156" s="10">
        <v>83.41</v>
      </c>
      <c r="Q156" s="29" t="s">
        <v>2</v>
      </c>
      <c r="R156" s="32" t="s">
        <v>2</v>
      </c>
      <c r="S156" s="32" t="s">
        <v>2</v>
      </c>
      <c r="T156" s="29">
        <v>10.84</v>
      </c>
      <c r="U156" s="29">
        <f t="shared" si="19"/>
        <v>105</v>
      </c>
      <c r="V156" s="4" t="s">
        <v>3</v>
      </c>
      <c r="X156" s="3">
        <f t="shared" si="15"/>
        <v>10.84</v>
      </c>
    </row>
    <row r="157" spans="1:24" hidden="1" x14ac:dyDescent="0.25">
      <c r="A157" s="7" t="s">
        <v>208</v>
      </c>
      <c r="B157" s="4" t="s">
        <v>209</v>
      </c>
      <c r="C157" s="5" t="str">
        <f t="shared" si="16"/>
        <v>09</v>
      </c>
      <c r="D157" s="5" t="str">
        <f t="shared" si="17"/>
        <v>04</v>
      </c>
      <c r="E157" s="4" t="s">
        <v>30</v>
      </c>
      <c r="F157" s="4" t="s">
        <v>31</v>
      </c>
      <c r="G157" s="8" t="str">
        <f t="shared" si="18"/>
        <v>09/04/2021</v>
      </c>
      <c r="H157" s="4" t="s">
        <v>1</v>
      </c>
      <c r="I157" s="4" t="s">
        <v>0</v>
      </c>
      <c r="J157" s="7" t="s">
        <v>568</v>
      </c>
      <c r="K157" s="7" t="s">
        <v>21</v>
      </c>
      <c r="L157" s="9" t="str">
        <f>+VLOOKUP(K157,'[1]BASE DE PROVEEDORES'!$A:$B,2,0)</f>
        <v>FREUND S.A DE C.V.</v>
      </c>
      <c r="M157" s="10">
        <v>0</v>
      </c>
      <c r="N157" s="7" t="s">
        <v>2</v>
      </c>
      <c r="O157" s="7" t="s">
        <v>2</v>
      </c>
      <c r="P157" s="10">
        <v>9.6999999999999993</v>
      </c>
      <c r="Q157" s="29" t="s">
        <v>2</v>
      </c>
      <c r="R157" s="32" t="s">
        <v>2</v>
      </c>
      <c r="S157" s="32" t="s">
        <v>2</v>
      </c>
      <c r="T157" s="29">
        <v>1.26</v>
      </c>
      <c r="U157" s="29">
        <f t="shared" si="19"/>
        <v>10.959999999999999</v>
      </c>
      <c r="V157" s="4" t="s">
        <v>3</v>
      </c>
      <c r="X157" s="3">
        <f t="shared" si="15"/>
        <v>1.26</v>
      </c>
    </row>
    <row r="158" spans="1:24" hidden="1" x14ac:dyDescent="0.25">
      <c r="A158" s="7" t="s">
        <v>208</v>
      </c>
      <c r="B158" s="4" t="s">
        <v>209</v>
      </c>
      <c r="C158" s="5" t="str">
        <f t="shared" si="16"/>
        <v>09</v>
      </c>
      <c r="D158" s="5" t="str">
        <f t="shared" si="17"/>
        <v>04</v>
      </c>
      <c r="E158" s="4" t="s">
        <v>30</v>
      </c>
      <c r="F158" s="4" t="s">
        <v>31</v>
      </c>
      <c r="G158" s="8" t="str">
        <f t="shared" si="18"/>
        <v>09/04/2021</v>
      </c>
      <c r="H158" s="4" t="s">
        <v>1</v>
      </c>
      <c r="I158" s="4" t="s">
        <v>0</v>
      </c>
      <c r="J158" s="7" t="s">
        <v>573</v>
      </c>
      <c r="K158" s="7" t="s">
        <v>157</v>
      </c>
      <c r="L158" s="9" t="str">
        <f>+VLOOKUP(K158,'[1]BASE DE PROVEEDORES'!$A:$B,2,0)</f>
        <v>DISTRIBUIDORA PAREDES VELA S.A DE C.V.</v>
      </c>
      <c r="M158" s="10">
        <v>0</v>
      </c>
      <c r="N158" s="7" t="s">
        <v>2</v>
      </c>
      <c r="O158" s="7" t="s">
        <v>2</v>
      </c>
      <c r="P158" s="10">
        <v>11.7</v>
      </c>
      <c r="Q158" s="29" t="s">
        <v>2</v>
      </c>
      <c r="R158" s="32" t="s">
        <v>2</v>
      </c>
      <c r="S158" s="32" t="s">
        <v>2</v>
      </c>
      <c r="T158" s="29">
        <v>1.52</v>
      </c>
      <c r="U158" s="29">
        <f t="shared" si="19"/>
        <v>13.219999999999999</v>
      </c>
      <c r="V158" s="4" t="s">
        <v>3</v>
      </c>
      <c r="X158" s="3">
        <f t="shared" si="15"/>
        <v>1.52</v>
      </c>
    </row>
    <row r="159" spans="1:24" hidden="1" x14ac:dyDescent="0.25">
      <c r="A159" s="7" t="s">
        <v>208</v>
      </c>
      <c r="B159" s="4" t="s">
        <v>209</v>
      </c>
      <c r="C159" s="5" t="str">
        <f t="shared" ref="C159:C190" si="20">+LEFT(B159,2)</f>
        <v>09</v>
      </c>
      <c r="D159" s="5" t="str">
        <f t="shared" ref="D159:D190" si="21">+RIGHT(B159,2)</f>
        <v>04</v>
      </c>
      <c r="E159" s="4" t="s">
        <v>30</v>
      </c>
      <c r="F159" s="4" t="s">
        <v>31</v>
      </c>
      <c r="G159" s="8" t="str">
        <f t="shared" ref="G159:G190" si="22">+C159&amp;F159&amp;D159&amp;F159&amp;E159</f>
        <v>09/04/2021</v>
      </c>
      <c r="H159" s="4" t="s">
        <v>1</v>
      </c>
      <c r="I159" s="4" t="s">
        <v>0</v>
      </c>
      <c r="J159" s="7" t="s">
        <v>594</v>
      </c>
      <c r="K159" s="7" t="s">
        <v>172</v>
      </c>
      <c r="L159" s="9" t="str">
        <f>+VLOOKUP(K159,'[1]BASE DE PROVEEDORES'!$A:$B,2,0)</f>
        <v>MANEJO INTEGRAL DE DESECHOS SOLIDOS SEM DE C.V.</v>
      </c>
      <c r="M159" s="10">
        <v>0</v>
      </c>
      <c r="N159" s="7" t="s">
        <v>2</v>
      </c>
      <c r="O159" s="7" t="s">
        <v>2</v>
      </c>
      <c r="P159" s="10">
        <v>47.17</v>
      </c>
      <c r="Q159" s="29" t="s">
        <v>2</v>
      </c>
      <c r="R159" s="32" t="s">
        <v>2</v>
      </c>
      <c r="S159" s="32" t="s">
        <v>2</v>
      </c>
      <c r="T159" s="29">
        <v>6.13</v>
      </c>
      <c r="U159" s="29">
        <f t="shared" ref="U159:U190" si="23">+M159+P159+T159</f>
        <v>53.300000000000004</v>
      </c>
      <c r="V159" s="4" t="s">
        <v>3</v>
      </c>
      <c r="X159" s="3">
        <f t="shared" si="15"/>
        <v>6.13</v>
      </c>
    </row>
    <row r="160" spans="1:24" hidden="1" x14ac:dyDescent="0.25">
      <c r="A160" s="7" t="s">
        <v>208</v>
      </c>
      <c r="B160" s="4" t="s">
        <v>495</v>
      </c>
      <c r="C160" s="5" t="str">
        <f t="shared" si="20"/>
        <v>10</v>
      </c>
      <c r="D160" s="5" t="str">
        <f t="shared" si="21"/>
        <v>04</v>
      </c>
      <c r="E160" s="4" t="s">
        <v>30</v>
      </c>
      <c r="F160" s="4" t="s">
        <v>31</v>
      </c>
      <c r="G160" s="8" t="str">
        <f t="shared" si="22"/>
        <v>10/04/2021</v>
      </c>
      <c r="H160" s="4" t="s">
        <v>1</v>
      </c>
      <c r="I160" s="4" t="s">
        <v>0</v>
      </c>
      <c r="J160" s="7" t="s">
        <v>496</v>
      </c>
      <c r="K160" s="7" t="s">
        <v>45</v>
      </c>
      <c r="L160" s="9" t="str">
        <f>+VLOOKUP(K160,'[1]BASE DE PROVEEDORES'!$A:$B,2,0)</f>
        <v>JOSE RICARDO ANTONIO MOLINA</v>
      </c>
      <c r="M160" s="10">
        <f>4.67+2.33</f>
        <v>7</v>
      </c>
      <c r="N160" s="7" t="s">
        <v>2</v>
      </c>
      <c r="O160" s="7" t="s">
        <v>2</v>
      </c>
      <c r="P160" s="10">
        <v>54.3</v>
      </c>
      <c r="Q160" s="29" t="s">
        <v>2</v>
      </c>
      <c r="R160" s="32" t="s">
        <v>2</v>
      </c>
      <c r="S160" s="32" t="s">
        <v>2</v>
      </c>
      <c r="T160" s="29">
        <v>7.06</v>
      </c>
      <c r="U160" s="29">
        <f t="shared" si="23"/>
        <v>68.36</v>
      </c>
      <c r="V160" s="4" t="s">
        <v>3</v>
      </c>
      <c r="X160" s="3">
        <f t="shared" si="15"/>
        <v>7.06</v>
      </c>
    </row>
    <row r="161" spans="1:24" hidden="1" x14ac:dyDescent="0.25">
      <c r="A161" s="7" t="s">
        <v>208</v>
      </c>
      <c r="B161" s="4" t="s">
        <v>495</v>
      </c>
      <c r="C161" s="5" t="str">
        <f t="shared" si="20"/>
        <v>10</v>
      </c>
      <c r="D161" s="5" t="str">
        <f t="shared" si="21"/>
        <v>04</v>
      </c>
      <c r="E161" s="4" t="s">
        <v>30</v>
      </c>
      <c r="F161" s="4" t="s">
        <v>31</v>
      </c>
      <c r="G161" s="8" t="str">
        <f t="shared" si="22"/>
        <v>10/04/2021</v>
      </c>
      <c r="H161" s="4" t="s">
        <v>1</v>
      </c>
      <c r="I161" s="4" t="s">
        <v>0</v>
      </c>
      <c r="J161" s="7" t="s">
        <v>578</v>
      </c>
      <c r="K161" s="7" t="s">
        <v>20</v>
      </c>
      <c r="L161" s="9" t="str">
        <f>+VLOOKUP(K161,'[1]BASE DE PROVEEDORES'!$A:$B,2,0)</f>
        <v>ALMACENES VIDRI, S.A DE C.V.</v>
      </c>
      <c r="M161" s="10">
        <v>0</v>
      </c>
      <c r="N161" s="7" t="s">
        <v>2</v>
      </c>
      <c r="O161" s="7" t="s">
        <v>2</v>
      </c>
      <c r="P161" s="10">
        <v>62.11</v>
      </c>
      <c r="Q161" s="29" t="s">
        <v>2</v>
      </c>
      <c r="R161" s="32" t="s">
        <v>2</v>
      </c>
      <c r="S161" s="32" t="s">
        <v>2</v>
      </c>
      <c r="T161" s="29">
        <v>8.07</v>
      </c>
      <c r="U161" s="29">
        <f t="shared" si="23"/>
        <v>70.180000000000007</v>
      </c>
      <c r="V161" s="4" t="s">
        <v>3</v>
      </c>
      <c r="X161" s="3">
        <f t="shared" si="15"/>
        <v>8.07</v>
      </c>
    </row>
    <row r="162" spans="1:24" hidden="1" x14ac:dyDescent="0.25">
      <c r="A162" s="7" t="s">
        <v>208</v>
      </c>
      <c r="B162" s="4" t="s">
        <v>495</v>
      </c>
      <c r="C162" s="5" t="str">
        <f t="shared" si="20"/>
        <v>10</v>
      </c>
      <c r="D162" s="5" t="str">
        <f t="shared" si="21"/>
        <v>04</v>
      </c>
      <c r="E162" s="4" t="s">
        <v>30</v>
      </c>
      <c r="F162" s="4" t="s">
        <v>31</v>
      </c>
      <c r="G162" s="8" t="str">
        <f t="shared" si="22"/>
        <v>10/04/2021</v>
      </c>
      <c r="H162" s="4" t="s">
        <v>1</v>
      </c>
      <c r="I162" s="4" t="s">
        <v>0</v>
      </c>
      <c r="J162" s="7" t="s">
        <v>606</v>
      </c>
      <c r="K162" s="7" t="s">
        <v>172</v>
      </c>
      <c r="L162" s="9" t="str">
        <f>+VLOOKUP(K162,'[1]BASE DE PROVEEDORES'!$A:$B,2,0)</f>
        <v>MANEJO INTEGRAL DE DESECHOS SOLIDOS SEM DE C.V.</v>
      </c>
      <c r="M162" s="10">
        <v>0</v>
      </c>
      <c r="N162" s="7" t="s">
        <v>2</v>
      </c>
      <c r="O162" s="7" t="s">
        <v>2</v>
      </c>
      <c r="P162" s="10">
        <v>39.590000000000003</v>
      </c>
      <c r="Q162" s="29" t="s">
        <v>2</v>
      </c>
      <c r="R162" s="32" t="s">
        <v>2</v>
      </c>
      <c r="S162" s="32" t="s">
        <v>2</v>
      </c>
      <c r="T162" s="29">
        <v>5.15</v>
      </c>
      <c r="U162" s="29">
        <f t="shared" si="23"/>
        <v>44.74</v>
      </c>
      <c r="V162" s="4" t="s">
        <v>3</v>
      </c>
      <c r="X162" s="3">
        <f t="shared" ref="X162:X225" si="24">+ROUND(T162,2)</f>
        <v>5.15</v>
      </c>
    </row>
    <row r="163" spans="1:24" hidden="1" x14ac:dyDescent="0.25">
      <c r="A163" s="7" t="s">
        <v>208</v>
      </c>
      <c r="B163" s="4" t="s">
        <v>495</v>
      </c>
      <c r="C163" s="5" t="str">
        <f t="shared" si="20"/>
        <v>10</v>
      </c>
      <c r="D163" s="5" t="str">
        <f t="shared" si="21"/>
        <v>04</v>
      </c>
      <c r="E163" s="4" t="s">
        <v>30</v>
      </c>
      <c r="F163" s="4" t="s">
        <v>31</v>
      </c>
      <c r="G163" s="8" t="str">
        <f t="shared" si="22"/>
        <v>10/04/2021</v>
      </c>
      <c r="H163" s="4" t="s">
        <v>1</v>
      </c>
      <c r="I163" s="4" t="s">
        <v>0</v>
      </c>
      <c r="J163" s="7" t="s">
        <v>622</v>
      </c>
      <c r="K163" s="7" t="s">
        <v>172</v>
      </c>
      <c r="L163" s="9" t="str">
        <f>+VLOOKUP(K163,'[1]BASE DE PROVEEDORES'!$A:$B,2,0)</f>
        <v>MANEJO INTEGRAL DE DESECHOS SOLIDOS SEM DE C.V.</v>
      </c>
      <c r="M163" s="10">
        <v>0</v>
      </c>
      <c r="N163" s="7" t="s">
        <v>2</v>
      </c>
      <c r="O163" s="7" t="s">
        <v>2</v>
      </c>
      <c r="P163" s="10">
        <v>56.26</v>
      </c>
      <c r="Q163" s="29" t="s">
        <v>2</v>
      </c>
      <c r="R163" s="32" t="s">
        <v>2</v>
      </c>
      <c r="S163" s="32" t="s">
        <v>2</v>
      </c>
      <c r="T163" s="29">
        <v>7.31</v>
      </c>
      <c r="U163" s="29">
        <f t="shared" si="23"/>
        <v>63.57</v>
      </c>
      <c r="V163" s="4" t="s">
        <v>3</v>
      </c>
      <c r="X163" s="3">
        <f t="shared" si="24"/>
        <v>7.31</v>
      </c>
    </row>
    <row r="164" spans="1:24" hidden="1" x14ac:dyDescent="0.25">
      <c r="A164" s="7" t="s">
        <v>208</v>
      </c>
      <c r="B164" s="4" t="s">
        <v>495</v>
      </c>
      <c r="C164" s="5" t="str">
        <f t="shared" si="20"/>
        <v>10</v>
      </c>
      <c r="D164" s="5" t="str">
        <f t="shared" si="21"/>
        <v>04</v>
      </c>
      <c r="E164" s="4" t="s">
        <v>30</v>
      </c>
      <c r="F164" s="4" t="s">
        <v>31</v>
      </c>
      <c r="G164" s="8" t="str">
        <f t="shared" si="22"/>
        <v>10/04/2021</v>
      </c>
      <c r="H164" s="4" t="s">
        <v>1</v>
      </c>
      <c r="I164" s="4" t="s">
        <v>0</v>
      </c>
      <c r="J164" s="7" t="s">
        <v>628</v>
      </c>
      <c r="K164" s="7" t="s">
        <v>172</v>
      </c>
      <c r="L164" s="9" t="str">
        <f>+VLOOKUP(K164,'[1]BASE DE PROVEEDORES'!$A:$B,2,0)</f>
        <v>MANEJO INTEGRAL DE DESECHOS SOLIDOS SEM DE C.V.</v>
      </c>
      <c r="M164" s="10">
        <v>0</v>
      </c>
      <c r="N164" s="7" t="s">
        <v>2</v>
      </c>
      <c r="O164" s="7" t="s">
        <v>2</v>
      </c>
      <c r="P164" s="10">
        <v>28.08</v>
      </c>
      <c r="Q164" s="29" t="s">
        <v>2</v>
      </c>
      <c r="R164" s="32" t="s">
        <v>2</v>
      </c>
      <c r="S164" s="32" t="s">
        <v>2</v>
      </c>
      <c r="T164" s="29">
        <v>3.65</v>
      </c>
      <c r="U164" s="29">
        <f t="shared" si="23"/>
        <v>31.729999999999997</v>
      </c>
      <c r="V164" s="4" t="s">
        <v>3</v>
      </c>
      <c r="X164" s="3">
        <f t="shared" si="24"/>
        <v>3.65</v>
      </c>
    </row>
    <row r="165" spans="1:24" hidden="1" x14ac:dyDescent="0.25">
      <c r="A165" s="7" t="s">
        <v>208</v>
      </c>
      <c r="B165" s="4" t="s">
        <v>495</v>
      </c>
      <c r="C165" s="5" t="str">
        <f t="shared" si="20"/>
        <v>10</v>
      </c>
      <c r="D165" s="5" t="str">
        <f t="shared" si="21"/>
        <v>04</v>
      </c>
      <c r="E165" s="4" t="s">
        <v>30</v>
      </c>
      <c r="F165" s="4" t="s">
        <v>31</v>
      </c>
      <c r="G165" s="8" t="str">
        <f t="shared" si="22"/>
        <v>10/04/2021</v>
      </c>
      <c r="H165" s="4" t="s">
        <v>1</v>
      </c>
      <c r="I165" s="4" t="s">
        <v>0</v>
      </c>
      <c r="J165" s="7" t="s">
        <v>632</v>
      </c>
      <c r="K165" s="7" t="s">
        <v>172</v>
      </c>
      <c r="L165" s="9" t="str">
        <f>+VLOOKUP(K165,'[1]BASE DE PROVEEDORES'!$A:$B,2,0)</f>
        <v>MANEJO INTEGRAL DE DESECHOS SOLIDOS SEM DE C.V.</v>
      </c>
      <c r="M165" s="10">
        <v>0</v>
      </c>
      <c r="N165" s="7" t="s">
        <v>2</v>
      </c>
      <c r="O165" s="7" t="s">
        <v>2</v>
      </c>
      <c r="P165" s="10">
        <v>68.63</v>
      </c>
      <c r="Q165" s="29" t="s">
        <v>2</v>
      </c>
      <c r="R165" s="32" t="s">
        <v>2</v>
      </c>
      <c r="S165" s="32" t="s">
        <v>2</v>
      </c>
      <c r="T165" s="29">
        <v>8.92</v>
      </c>
      <c r="U165" s="29">
        <f t="shared" si="23"/>
        <v>77.55</v>
      </c>
      <c r="V165" s="4" t="s">
        <v>3</v>
      </c>
      <c r="X165" s="3">
        <f t="shared" si="24"/>
        <v>8.92</v>
      </c>
    </row>
    <row r="166" spans="1:24" hidden="1" x14ac:dyDescent="0.25">
      <c r="A166" s="7" t="s">
        <v>208</v>
      </c>
      <c r="B166" s="4" t="s">
        <v>497</v>
      </c>
      <c r="C166" s="5" t="str">
        <f t="shared" si="20"/>
        <v>12</v>
      </c>
      <c r="D166" s="5" t="str">
        <f t="shared" si="21"/>
        <v>04</v>
      </c>
      <c r="E166" s="4" t="s">
        <v>30</v>
      </c>
      <c r="F166" s="4" t="s">
        <v>31</v>
      </c>
      <c r="G166" s="8" t="str">
        <f t="shared" si="22"/>
        <v>12/04/2021</v>
      </c>
      <c r="H166" s="4" t="s">
        <v>1</v>
      </c>
      <c r="I166" s="4" t="s">
        <v>0</v>
      </c>
      <c r="J166" s="7" t="s">
        <v>498</v>
      </c>
      <c r="K166" s="7" t="s">
        <v>45</v>
      </c>
      <c r="L166" s="9" t="str">
        <f>+VLOOKUP(K166,'[1]BASE DE PROVEEDORES'!$A:$B,2,0)</f>
        <v>JOSE RICARDO ANTONIO MOLINA</v>
      </c>
      <c r="M166" s="10">
        <f>7.36+3.68</f>
        <v>11.040000000000001</v>
      </c>
      <c r="N166" s="7" t="s">
        <v>2</v>
      </c>
      <c r="O166" s="7" t="s">
        <v>2</v>
      </c>
      <c r="P166" s="10">
        <v>85.69</v>
      </c>
      <c r="Q166" s="29" t="s">
        <v>2</v>
      </c>
      <c r="R166" s="32" t="s">
        <v>2</v>
      </c>
      <c r="S166" s="32" t="s">
        <v>2</v>
      </c>
      <c r="T166" s="29">
        <v>11.14</v>
      </c>
      <c r="U166" s="29">
        <f t="shared" si="23"/>
        <v>107.87</v>
      </c>
      <c r="V166" s="4" t="s">
        <v>3</v>
      </c>
      <c r="X166" s="3">
        <f t="shared" si="24"/>
        <v>11.14</v>
      </c>
    </row>
    <row r="167" spans="1:24" hidden="1" x14ac:dyDescent="0.25">
      <c r="A167" s="7" t="s">
        <v>208</v>
      </c>
      <c r="B167" s="4" t="s">
        <v>497</v>
      </c>
      <c r="C167" s="5" t="str">
        <f t="shared" si="20"/>
        <v>12</v>
      </c>
      <c r="D167" s="5" t="str">
        <f t="shared" si="21"/>
        <v>04</v>
      </c>
      <c r="E167" s="4" t="s">
        <v>30</v>
      </c>
      <c r="F167" s="4" t="s">
        <v>31</v>
      </c>
      <c r="G167" s="8" t="str">
        <f t="shared" si="22"/>
        <v>12/04/2021</v>
      </c>
      <c r="H167" s="4" t="s">
        <v>1</v>
      </c>
      <c r="I167" s="4" t="s">
        <v>0</v>
      </c>
      <c r="J167" s="7" t="s">
        <v>44</v>
      </c>
      <c r="K167" s="7" t="s">
        <v>126</v>
      </c>
      <c r="L167" s="9" t="str">
        <f>+VLOOKUP(K167,'[1]BASE DE PROVEEDORES'!$A:$B,2,0)</f>
        <v>REPUESTOS IZALCO S.A DE C.V.</v>
      </c>
      <c r="M167" s="10">
        <v>0</v>
      </c>
      <c r="N167" s="7" t="s">
        <v>2</v>
      </c>
      <c r="O167" s="7" t="s">
        <v>2</v>
      </c>
      <c r="P167" s="10">
        <v>32.4</v>
      </c>
      <c r="Q167" s="29" t="s">
        <v>2</v>
      </c>
      <c r="R167" s="32" t="s">
        <v>2</v>
      </c>
      <c r="S167" s="32" t="s">
        <v>2</v>
      </c>
      <c r="T167" s="29">
        <v>4.21</v>
      </c>
      <c r="U167" s="29">
        <f t="shared" si="23"/>
        <v>36.61</v>
      </c>
      <c r="V167" s="4" t="s">
        <v>3</v>
      </c>
      <c r="X167" s="3">
        <f t="shared" si="24"/>
        <v>4.21</v>
      </c>
    </row>
    <row r="168" spans="1:24" hidden="1" x14ac:dyDescent="0.25">
      <c r="A168" s="7" t="s">
        <v>208</v>
      </c>
      <c r="B168" s="4" t="s">
        <v>497</v>
      </c>
      <c r="C168" s="5" t="str">
        <f t="shared" si="20"/>
        <v>12</v>
      </c>
      <c r="D168" s="5" t="str">
        <f t="shared" si="21"/>
        <v>04</v>
      </c>
      <c r="E168" s="4" t="s">
        <v>30</v>
      </c>
      <c r="F168" s="4" t="s">
        <v>31</v>
      </c>
      <c r="G168" s="8" t="str">
        <f t="shared" si="22"/>
        <v>12/04/2021</v>
      </c>
      <c r="H168" s="4" t="s">
        <v>1</v>
      </c>
      <c r="I168" s="4" t="s">
        <v>0</v>
      </c>
      <c r="J168" s="7" t="s">
        <v>616</v>
      </c>
      <c r="K168" s="7" t="s">
        <v>172</v>
      </c>
      <c r="L168" s="9" t="str">
        <f>+VLOOKUP(K168,'[1]BASE DE PROVEEDORES'!$A:$B,2,0)</f>
        <v>MANEJO INTEGRAL DE DESECHOS SOLIDOS SEM DE C.V.</v>
      </c>
      <c r="M168" s="10">
        <v>0</v>
      </c>
      <c r="N168" s="7" t="s">
        <v>2</v>
      </c>
      <c r="O168" s="7" t="s">
        <v>2</v>
      </c>
      <c r="P168" s="10">
        <v>56.26</v>
      </c>
      <c r="Q168" s="29" t="s">
        <v>2</v>
      </c>
      <c r="R168" s="32" t="s">
        <v>2</v>
      </c>
      <c r="S168" s="32" t="s">
        <v>2</v>
      </c>
      <c r="T168" s="29">
        <v>7.31</v>
      </c>
      <c r="U168" s="29">
        <f t="shared" si="23"/>
        <v>63.57</v>
      </c>
      <c r="V168" s="4" t="s">
        <v>3</v>
      </c>
      <c r="X168" s="3">
        <f t="shared" si="24"/>
        <v>7.31</v>
      </c>
    </row>
    <row r="169" spans="1:24" hidden="1" x14ac:dyDescent="0.25">
      <c r="A169" s="7" t="s">
        <v>208</v>
      </c>
      <c r="B169" s="4" t="s">
        <v>499</v>
      </c>
      <c r="C169" s="5" t="str">
        <f t="shared" si="20"/>
        <v>13</v>
      </c>
      <c r="D169" s="5" t="str">
        <f t="shared" si="21"/>
        <v>04</v>
      </c>
      <c r="E169" s="4" t="s">
        <v>30</v>
      </c>
      <c r="F169" s="4" t="s">
        <v>31</v>
      </c>
      <c r="G169" s="8" t="str">
        <f t="shared" si="22"/>
        <v>13/04/2021</v>
      </c>
      <c r="H169" s="4" t="s">
        <v>1</v>
      </c>
      <c r="I169" s="4" t="s">
        <v>0</v>
      </c>
      <c r="J169" s="7" t="s">
        <v>500</v>
      </c>
      <c r="K169" s="7" t="s">
        <v>45</v>
      </c>
      <c r="L169" s="9" t="str">
        <f>+VLOOKUP(K169,'[1]BASE DE PROVEEDORES'!$A:$B,2,0)</f>
        <v>JOSE RICARDO ANTONIO MOLINA</v>
      </c>
      <c r="M169" s="10">
        <v>7.85</v>
      </c>
      <c r="N169" s="7" t="s">
        <v>2</v>
      </c>
      <c r="O169" s="7" t="s">
        <v>2</v>
      </c>
      <c r="P169" s="10">
        <v>60.96</v>
      </c>
      <c r="Q169" s="29" t="s">
        <v>2</v>
      </c>
      <c r="R169" s="32" t="s">
        <v>2</v>
      </c>
      <c r="S169" s="32" t="s">
        <v>2</v>
      </c>
      <c r="T169" s="29">
        <v>7.92</v>
      </c>
      <c r="U169" s="29">
        <f t="shared" si="23"/>
        <v>76.73</v>
      </c>
      <c r="V169" s="4" t="s">
        <v>3</v>
      </c>
      <c r="X169" s="3">
        <f t="shared" si="24"/>
        <v>7.92</v>
      </c>
    </row>
    <row r="170" spans="1:24" hidden="1" x14ac:dyDescent="0.25">
      <c r="A170" s="7" t="s">
        <v>208</v>
      </c>
      <c r="B170" s="4" t="s">
        <v>499</v>
      </c>
      <c r="C170" s="5" t="str">
        <f t="shared" si="20"/>
        <v>13</v>
      </c>
      <c r="D170" s="5" t="str">
        <f t="shared" si="21"/>
        <v>04</v>
      </c>
      <c r="E170" s="4" t="s">
        <v>30</v>
      </c>
      <c r="F170" s="4" t="s">
        <v>31</v>
      </c>
      <c r="G170" s="8" t="str">
        <f t="shared" si="22"/>
        <v>13/04/2021</v>
      </c>
      <c r="H170" s="4" t="s">
        <v>1</v>
      </c>
      <c r="I170" s="4" t="s">
        <v>0</v>
      </c>
      <c r="J170" s="7" t="s">
        <v>548</v>
      </c>
      <c r="K170" s="7" t="s">
        <v>28</v>
      </c>
      <c r="L170" s="9" t="str">
        <f>+VLOOKUP(K170,'[1]BASE DE PROVEEDORES'!$A:$B,2,0)</f>
        <v xml:space="preserve">ACTIVIDADES PETROLERAS DE EL SALVADOR S.A DE C.V </v>
      </c>
      <c r="M170" s="10">
        <f>1.97+0.99</f>
        <v>2.96</v>
      </c>
      <c r="N170" s="7" t="s">
        <v>2</v>
      </c>
      <c r="O170" s="7" t="s">
        <v>2</v>
      </c>
      <c r="P170" s="10">
        <v>27.47</v>
      </c>
      <c r="Q170" s="29" t="s">
        <v>2</v>
      </c>
      <c r="R170" s="32" t="s">
        <v>2</v>
      </c>
      <c r="S170" s="32" t="s">
        <v>2</v>
      </c>
      <c r="T170" s="29">
        <v>3.57</v>
      </c>
      <c r="U170" s="29">
        <f t="shared" si="23"/>
        <v>34</v>
      </c>
      <c r="V170" s="4" t="s">
        <v>3</v>
      </c>
      <c r="X170" s="3">
        <f t="shared" si="24"/>
        <v>3.57</v>
      </c>
    </row>
    <row r="171" spans="1:24" hidden="1" x14ac:dyDescent="0.25">
      <c r="A171" s="7" t="s">
        <v>208</v>
      </c>
      <c r="B171" s="4" t="s">
        <v>499</v>
      </c>
      <c r="C171" s="5" t="str">
        <f t="shared" si="20"/>
        <v>13</v>
      </c>
      <c r="D171" s="5" t="str">
        <f t="shared" si="21"/>
        <v>04</v>
      </c>
      <c r="E171" s="4" t="s">
        <v>30</v>
      </c>
      <c r="F171" s="4" t="s">
        <v>31</v>
      </c>
      <c r="G171" s="8" t="str">
        <f t="shared" si="22"/>
        <v>13/04/2021</v>
      </c>
      <c r="H171" s="4" t="s">
        <v>1</v>
      </c>
      <c r="I171" s="4" t="s">
        <v>0</v>
      </c>
      <c r="J171" s="7" t="s">
        <v>549</v>
      </c>
      <c r="K171" s="7" t="s">
        <v>28</v>
      </c>
      <c r="L171" s="9" t="str">
        <f>+VLOOKUP(K171,'[1]BASE DE PROVEEDORES'!$A:$B,2,0)</f>
        <v xml:space="preserve">ACTIVIDADES PETROLERAS DE EL SALVADOR S.A DE C.V </v>
      </c>
      <c r="M171" s="10">
        <f>2+1</f>
        <v>3</v>
      </c>
      <c r="N171" s="7" t="s">
        <v>2</v>
      </c>
      <c r="O171" s="7" t="s">
        <v>2</v>
      </c>
      <c r="P171" s="10">
        <v>23.24</v>
      </c>
      <c r="Q171" s="29" t="s">
        <v>2</v>
      </c>
      <c r="R171" s="32" t="s">
        <v>2</v>
      </c>
      <c r="S171" s="32" t="s">
        <v>2</v>
      </c>
      <c r="T171" s="29">
        <v>3.02</v>
      </c>
      <c r="U171" s="29">
        <f t="shared" si="23"/>
        <v>29.259999999999998</v>
      </c>
      <c r="V171" s="4" t="s">
        <v>3</v>
      </c>
      <c r="X171" s="3">
        <f t="shared" si="24"/>
        <v>3.02</v>
      </c>
    </row>
    <row r="172" spans="1:24" hidden="1" x14ac:dyDescent="0.25">
      <c r="A172" s="7" t="s">
        <v>208</v>
      </c>
      <c r="B172" s="4" t="s">
        <v>499</v>
      </c>
      <c r="C172" s="5" t="str">
        <f t="shared" si="20"/>
        <v>13</v>
      </c>
      <c r="D172" s="5" t="str">
        <f t="shared" si="21"/>
        <v>04</v>
      </c>
      <c r="E172" s="4" t="s">
        <v>30</v>
      </c>
      <c r="F172" s="4" t="s">
        <v>31</v>
      </c>
      <c r="G172" s="8" t="str">
        <f t="shared" si="22"/>
        <v>13/04/2021</v>
      </c>
      <c r="H172" s="4" t="s">
        <v>1</v>
      </c>
      <c r="I172" s="4" t="s">
        <v>0</v>
      </c>
      <c r="J172" s="7" t="s">
        <v>595</v>
      </c>
      <c r="K172" s="7" t="s">
        <v>172</v>
      </c>
      <c r="L172" s="9" t="str">
        <f>+VLOOKUP(K172,'[1]BASE DE PROVEEDORES'!$A:$B,2,0)</f>
        <v>MANEJO INTEGRAL DE DESECHOS SOLIDOS SEM DE C.V.</v>
      </c>
      <c r="M172" s="10">
        <v>0</v>
      </c>
      <c r="N172" s="7" t="s">
        <v>2</v>
      </c>
      <c r="O172" s="7" t="s">
        <v>2</v>
      </c>
      <c r="P172" s="10">
        <v>67.95</v>
      </c>
      <c r="Q172" s="29" t="s">
        <v>2</v>
      </c>
      <c r="R172" s="32" t="s">
        <v>2</v>
      </c>
      <c r="S172" s="32" t="s">
        <v>2</v>
      </c>
      <c r="T172" s="29">
        <v>8.83</v>
      </c>
      <c r="U172" s="29">
        <f t="shared" si="23"/>
        <v>76.78</v>
      </c>
      <c r="V172" s="4" t="s">
        <v>3</v>
      </c>
      <c r="X172" s="3">
        <f t="shared" si="24"/>
        <v>8.83</v>
      </c>
    </row>
    <row r="173" spans="1:24" hidden="1" x14ac:dyDescent="0.25">
      <c r="A173" s="7" t="s">
        <v>208</v>
      </c>
      <c r="B173" s="4" t="s">
        <v>499</v>
      </c>
      <c r="C173" s="5" t="str">
        <f t="shared" si="20"/>
        <v>13</v>
      </c>
      <c r="D173" s="5" t="str">
        <f t="shared" si="21"/>
        <v>04</v>
      </c>
      <c r="E173" s="4" t="s">
        <v>30</v>
      </c>
      <c r="F173" s="4" t="s">
        <v>31</v>
      </c>
      <c r="G173" s="8" t="str">
        <f t="shared" si="22"/>
        <v>13/04/2021</v>
      </c>
      <c r="H173" s="4" t="s">
        <v>1</v>
      </c>
      <c r="I173" s="4" t="s">
        <v>0</v>
      </c>
      <c r="J173" s="7" t="s">
        <v>607</v>
      </c>
      <c r="K173" s="7" t="s">
        <v>172</v>
      </c>
      <c r="L173" s="9" t="str">
        <f>+VLOOKUP(K173,'[1]BASE DE PROVEEDORES'!$A:$B,2,0)</f>
        <v>MANEJO INTEGRAL DE DESECHOS SOLIDOS SEM DE C.V.</v>
      </c>
      <c r="M173" s="10">
        <v>0</v>
      </c>
      <c r="N173" s="7" t="s">
        <v>2</v>
      </c>
      <c r="O173" s="7" t="s">
        <v>2</v>
      </c>
      <c r="P173" s="10">
        <v>84.8</v>
      </c>
      <c r="Q173" s="29" t="s">
        <v>2</v>
      </c>
      <c r="R173" s="32" t="s">
        <v>2</v>
      </c>
      <c r="S173" s="32" t="s">
        <v>2</v>
      </c>
      <c r="T173" s="29">
        <v>11.02</v>
      </c>
      <c r="U173" s="29">
        <f t="shared" si="23"/>
        <v>95.82</v>
      </c>
      <c r="V173" s="4" t="s">
        <v>3</v>
      </c>
      <c r="X173" s="3">
        <f t="shared" si="24"/>
        <v>11.02</v>
      </c>
    </row>
    <row r="174" spans="1:24" hidden="1" x14ac:dyDescent="0.25">
      <c r="A174" s="7" t="s">
        <v>208</v>
      </c>
      <c r="B174" s="4" t="s">
        <v>501</v>
      </c>
      <c r="C174" s="5" t="str">
        <f t="shared" si="20"/>
        <v>14</v>
      </c>
      <c r="D174" s="5" t="str">
        <f t="shared" si="21"/>
        <v>04</v>
      </c>
      <c r="E174" s="4" t="s">
        <v>30</v>
      </c>
      <c r="F174" s="4" t="s">
        <v>31</v>
      </c>
      <c r="G174" s="8" t="str">
        <f t="shared" si="22"/>
        <v>14/04/2021</v>
      </c>
      <c r="H174" s="4" t="s">
        <v>1</v>
      </c>
      <c r="I174" s="4" t="s">
        <v>0</v>
      </c>
      <c r="J174" s="7" t="s">
        <v>502</v>
      </c>
      <c r="K174" s="7" t="s">
        <v>45</v>
      </c>
      <c r="L174" s="9" t="str">
        <f>+VLOOKUP(K174,'[1]BASE DE PROVEEDORES'!$A:$B,2,0)</f>
        <v>JOSE RICARDO ANTONIO MOLINA</v>
      </c>
      <c r="M174" s="10">
        <f>7.6+3.8</f>
        <v>11.399999999999999</v>
      </c>
      <c r="N174" s="7" t="s">
        <v>2</v>
      </c>
      <c r="O174" s="7" t="s">
        <v>2</v>
      </c>
      <c r="P174" s="10">
        <v>88.43</v>
      </c>
      <c r="Q174" s="29" t="s">
        <v>2</v>
      </c>
      <c r="R174" s="32" t="s">
        <v>2</v>
      </c>
      <c r="S174" s="32" t="s">
        <v>2</v>
      </c>
      <c r="T174" s="29">
        <v>11.5</v>
      </c>
      <c r="U174" s="29">
        <f t="shared" si="23"/>
        <v>111.33000000000001</v>
      </c>
      <c r="V174" s="4" t="s">
        <v>3</v>
      </c>
      <c r="X174" s="3">
        <f t="shared" si="24"/>
        <v>11.5</v>
      </c>
    </row>
    <row r="175" spans="1:24" hidden="1" x14ac:dyDescent="0.25">
      <c r="A175" s="7" t="s">
        <v>208</v>
      </c>
      <c r="B175" s="4" t="s">
        <v>501</v>
      </c>
      <c r="C175" s="5" t="str">
        <f t="shared" si="20"/>
        <v>14</v>
      </c>
      <c r="D175" s="5" t="str">
        <f t="shared" si="21"/>
        <v>04</v>
      </c>
      <c r="E175" s="4" t="s">
        <v>30</v>
      </c>
      <c r="F175" s="4" t="s">
        <v>31</v>
      </c>
      <c r="G175" s="8" t="str">
        <f t="shared" si="22"/>
        <v>14/04/2021</v>
      </c>
      <c r="H175" s="4" t="s">
        <v>1</v>
      </c>
      <c r="I175" s="4" t="s">
        <v>0</v>
      </c>
      <c r="J175" s="7" t="s">
        <v>547</v>
      </c>
      <c r="K175" s="7" t="s">
        <v>28</v>
      </c>
      <c r="L175" s="9" t="str">
        <f>+VLOOKUP(K175,'[1]BASE DE PROVEEDORES'!$A:$B,2,0)</f>
        <v xml:space="preserve">ACTIVIDADES PETROLERAS DE EL SALVADOR S.A DE C.V </v>
      </c>
      <c r="M175" s="10">
        <f>1.83+0.91</f>
        <v>2.74</v>
      </c>
      <c r="N175" s="7" t="s">
        <v>2</v>
      </c>
      <c r="O175" s="7" t="s">
        <v>2</v>
      </c>
      <c r="P175" s="10">
        <v>21.24</v>
      </c>
      <c r="Q175" s="29" t="s">
        <v>2</v>
      </c>
      <c r="R175" s="32" t="s">
        <v>2</v>
      </c>
      <c r="S175" s="32" t="s">
        <v>2</v>
      </c>
      <c r="T175" s="29">
        <v>2.76</v>
      </c>
      <c r="U175" s="29">
        <f t="shared" si="23"/>
        <v>26.739999999999995</v>
      </c>
      <c r="V175" s="4" t="s">
        <v>3</v>
      </c>
      <c r="X175" s="3">
        <f t="shared" si="24"/>
        <v>2.76</v>
      </c>
    </row>
    <row r="176" spans="1:24" hidden="1" x14ac:dyDescent="0.25">
      <c r="A176" s="7" t="s">
        <v>208</v>
      </c>
      <c r="B176" s="4" t="s">
        <v>501</v>
      </c>
      <c r="C176" s="5" t="str">
        <f t="shared" si="20"/>
        <v>14</v>
      </c>
      <c r="D176" s="5" t="str">
        <f t="shared" si="21"/>
        <v>04</v>
      </c>
      <c r="E176" s="4" t="s">
        <v>30</v>
      </c>
      <c r="F176" s="4" t="s">
        <v>31</v>
      </c>
      <c r="G176" s="8" t="str">
        <f t="shared" si="22"/>
        <v>14/04/2021</v>
      </c>
      <c r="H176" s="4" t="s">
        <v>1</v>
      </c>
      <c r="I176" s="4" t="s">
        <v>0</v>
      </c>
      <c r="J176" s="7" t="s">
        <v>555</v>
      </c>
      <c r="K176" s="7" t="s">
        <v>556</v>
      </c>
      <c r="L176" s="9" t="str">
        <f>+VLOOKUP(K176,'[1]BASE DE PROVEEDORES'!$A:$B,2,0)</f>
        <v>REFILL S.A DE C.V.</v>
      </c>
      <c r="M176" s="10">
        <v>0</v>
      </c>
      <c r="N176" s="7" t="s">
        <v>2</v>
      </c>
      <c r="O176" s="7" t="s">
        <v>2</v>
      </c>
      <c r="P176" s="10">
        <v>26.55</v>
      </c>
      <c r="Q176" s="29" t="s">
        <v>2</v>
      </c>
      <c r="R176" s="32" t="s">
        <v>2</v>
      </c>
      <c r="S176" s="32" t="s">
        <v>2</v>
      </c>
      <c r="T176" s="29">
        <v>3.45</v>
      </c>
      <c r="U176" s="29">
        <f t="shared" si="23"/>
        <v>30</v>
      </c>
      <c r="V176" s="4" t="s">
        <v>3</v>
      </c>
      <c r="X176" s="3">
        <f t="shared" si="24"/>
        <v>3.45</v>
      </c>
    </row>
    <row r="177" spans="1:24" hidden="1" x14ac:dyDescent="0.25">
      <c r="A177" s="7" t="s">
        <v>208</v>
      </c>
      <c r="B177" s="4" t="s">
        <v>501</v>
      </c>
      <c r="C177" s="5" t="str">
        <f t="shared" si="20"/>
        <v>14</v>
      </c>
      <c r="D177" s="5" t="str">
        <f t="shared" si="21"/>
        <v>04</v>
      </c>
      <c r="E177" s="4" t="s">
        <v>30</v>
      </c>
      <c r="F177" s="4" t="s">
        <v>31</v>
      </c>
      <c r="G177" s="8" t="str">
        <f t="shared" si="22"/>
        <v>14/04/2021</v>
      </c>
      <c r="H177" s="4" t="s">
        <v>1</v>
      </c>
      <c r="I177" s="4" t="s">
        <v>0</v>
      </c>
      <c r="J177" s="7" t="s">
        <v>579</v>
      </c>
      <c r="K177" s="7" t="s">
        <v>167</v>
      </c>
      <c r="L177" s="9" t="str">
        <f>+VLOOKUP(K177,'[1]BASE DE PROVEEDORES'!$A:$B,2,0)</f>
        <v>PROVEEDORES DE INSUMOS DIVERSOS S.A DE C.V.</v>
      </c>
      <c r="M177" s="10">
        <v>0</v>
      </c>
      <c r="N177" s="7" t="s">
        <v>2</v>
      </c>
      <c r="O177" s="7" t="s">
        <v>2</v>
      </c>
      <c r="P177" s="10">
        <v>24.78</v>
      </c>
      <c r="Q177" s="29" t="s">
        <v>2</v>
      </c>
      <c r="R177" s="32" t="s">
        <v>2</v>
      </c>
      <c r="S177" s="32" t="s">
        <v>2</v>
      </c>
      <c r="T177" s="29">
        <v>3.22</v>
      </c>
      <c r="U177" s="29">
        <f t="shared" si="23"/>
        <v>28</v>
      </c>
      <c r="V177" s="4" t="s">
        <v>3</v>
      </c>
      <c r="X177" s="3">
        <f t="shared" si="24"/>
        <v>3.22</v>
      </c>
    </row>
    <row r="178" spans="1:24" hidden="1" x14ac:dyDescent="0.25">
      <c r="A178" s="7" t="s">
        <v>208</v>
      </c>
      <c r="B178" s="4" t="s">
        <v>501</v>
      </c>
      <c r="C178" s="5" t="str">
        <f t="shared" si="20"/>
        <v>14</v>
      </c>
      <c r="D178" s="5" t="str">
        <f t="shared" si="21"/>
        <v>04</v>
      </c>
      <c r="E178" s="4" t="s">
        <v>30</v>
      </c>
      <c r="F178" s="4" t="s">
        <v>31</v>
      </c>
      <c r="G178" s="8" t="str">
        <f t="shared" si="22"/>
        <v>14/04/2021</v>
      </c>
      <c r="H178" s="4" t="s">
        <v>1</v>
      </c>
      <c r="I178" s="4" t="s">
        <v>0</v>
      </c>
      <c r="J178" s="7" t="s">
        <v>623</v>
      </c>
      <c r="K178" s="7" t="s">
        <v>172</v>
      </c>
      <c r="L178" s="9" t="str">
        <f>+VLOOKUP(K178,'[1]BASE DE PROVEEDORES'!$A:$B,2,0)</f>
        <v>MANEJO INTEGRAL DE DESECHOS SOLIDOS SEM DE C.V.</v>
      </c>
      <c r="M178" s="10">
        <v>0</v>
      </c>
      <c r="N178" s="7" t="s">
        <v>2</v>
      </c>
      <c r="O178" s="7" t="s">
        <v>2</v>
      </c>
      <c r="P178" s="10">
        <v>56.26</v>
      </c>
      <c r="Q178" s="29" t="s">
        <v>2</v>
      </c>
      <c r="R178" s="32" t="s">
        <v>2</v>
      </c>
      <c r="S178" s="32" t="s">
        <v>2</v>
      </c>
      <c r="T178" s="29">
        <v>7.31</v>
      </c>
      <c r="U178" s="29">
        <f t="shared" si="23"/>
        <v>63.57</v>
      </c>
      <c r="V178" s="4" t="s">
        <v>3</v>
      </c>
      <c r="X178" s="3">
        <f t="shared" si="24"/>
        <v>7.31</v>
      </c>
    </row>
    <row r="179" spans="1:24" hidden="1" x14ac:dyDescent="0.25">
      <c r="A179" s="7" t="s">
        <v>208</v>
      </c>
      <c r="B179" s="4" t="s">
        <v>503</v>
      </c>
      <c r="C179" s="5" t="str">
        <f t="shared" si="20"/>
        <v>15</v>
      </c>
      <c r="D179" s="5" t="str">
        <f t="shared" si="21"/>
        <v>04</v>
      </c>
      <c r="E179" s="4" t="s">
        <v>30</v>
      </c>
      <c r="F179" s="4" t="s">
        <v>31</v>
      </c>
      <c r="G179" s="8" t="str">
        <f t="shared" si="22"/>
        <v>15/04/2021</v>
      </c>
      <c r="H179" s="4" t="s">
        <v>1</v>
      </c>
      <c r="I179" s="4" t="s">
        <v>0</v>
      </c>
      <c r="J179" s="7" t="s">
        <v>504</v>
      </c>
      <c r="K179" s="7" t="s">
        <v>45</v>
      </c>
      <c r="L179" s="9" t="str">
        <f>+VLOOKUP(K179,'[1]BASE DE PROVEEDORES'!$A:$B,2,0)</f>
        <v>JOSE RICARDO ANTONIO MOLINA</v>
      </c>
      <c r="M179" s="10">
        <f>7.85+3.93</f>
        <v>11.78</v>
      </c>
      <c r="N179" s="7" t="s">
        <v>2</v>
      </c>
      <c r="O179" s="7" t="s">
        <v>2</v>
      </c>
      <c r="P179" s="10">
        <v>91.38</v>
      </c>
      <c r="Q179" s="29" t="s">
        <v>2</v>
      </c>
      <c r="R179" s="32" t="s">
        <v>2</v>
      </c>
      <c r="S179" s="32" t="s">
        <v>2</v>
      </c>
      <c r="T179" s="29">
        <v>11.88</v>
      </c>
      <c r="U179" s="29">
        <f t="shared" si="23"/>
        <v>115.03999999999999</v>
      </c>
      <c r="V179" s="4" t="s">
        <v>3</v>
      </c>
      <c r="X179" s="3">
        <f t="shared" si="24"/>
        <v>11.88</v>
      </c>
    </row>
    <row r="180" spans="1:24" hidden="1" x14ac:dyDescent="0.25">
      <c r="A180" s="7" t="s">
        <v>208</v>
      </c>
      <c r="B180" s="4" t="s">
        <v>503</v>
      </c>
      <c r="C180" s="5" t="str">
        <f t="shared" si="20"/>
        <v>15</v>
      </c>
      <c r="D180" s="5" t="str">
        <f t="shared" si="21"/>
        <v>04</v>
      </c>
      <c r="E180" s="4" t="s">
        <v>30</v>
      </c>
      <c r="F180" s="4" t="s">
        <v>31</v>
      </c>
      <c r="G180" s="8" t="str">
        <f t="shared" si="22"/>
        <v>15/04/2021</v>
      </c>
      <c r="H180" s="4" t="s">
        <v>1</v>
      </c>
      <c r="I180" s="4" t="s">
        <v>0</v>
      </c>
      <c r="J180" s="7" t="s">
        <v>591</v>
      </c>
      <c r="K180" s="7" t="s">
        <v>157</v>
      </c>
      <c r="L180" s="9" t="str">
        <f>+VLOOKUP(K180,'[1]BASE DE PROVEEDORES'!$A:$B,2,0)</f>
        <v>DISTRIBUIDORA PAREDES VELA S.A DE C.V.</v>
      </c>
      <c r="M180" s="10">
        <v>0</v>
      </c>
      <c r="N180" s="7" t="s">
        <v>2</v>
      </c>
      <c r="O180" s="7" t="s">
        <v>2</v>
      </c>
      <c r="P180" s="10">
        <v>312.76</v>
      </c>
      <c r="Q180" s="29" t="s">
        <v>2</v>
      </c>
      <c r="R180" s="32" t="s">
        <v>2</v>
      </c>
      <c r="S180" s="32" t="s">
        <v>2</v>
      </c>
      <c r="T180" s="29">
        <v>40.659999999999997</v>
      </c>
      <c r="U180" s="29">
        <f t="shared" si="23"/>
        <v>353.41999999999996</v>
      </c>
      <c r="V180" s="4" t="s">
        <v>3</v>
      </c>
      <c r="X180" s="3">
        <f t="shared" si="24"/>
        <v>40.659999999999997</v>
      </c>
    </row>
    <row r="181" spans="1:24" hidden="1" x14ac:dyDescent="0.25">
      <c r="A181" s="7" t="s">
        <v>208</v>
      </c>
      <c r="B181" s="4" t="s">
        <v>505</v>
      </c>
      <c r="C181" s="5" t="str">
        <f t="shared" si="20"/>
        <v>16</v>
      </c>
      <c r="D181" s="5" t="str">
        <f t="shared" si="21"/>
        <v>04</v>
      </c>
      <c r="E181" s="4" t="s">
        <v>30</v>
      </c>
      <c r="F181" s="4" t="s">
        <v>31</v>
      </c>
      <c r="G181" s="8" t="str">
        <f t="shared" si="22"/>
        <v>16/04/2021</v>
      </c>
      <c r="H181" s="4" t="s">
        <v>1</v>
      </c>
      <c r="I181" s="4" t="s">
        <v>0</v>
      </c>
      <c r="J181" s="7" t="s">
        <v>506</v>
      </c>
      <c r="K181" s="7" t="s">
        <v>45</v>
      </c>
      <c r="L181" s="9" t="str">
        <f>+VLOOKUP(K181,'[1]BASE DE PROVEEDORES'!$A:$B,2,0)</f>
        <v>JOSE RICARDO ANTONIO MOLINA</v>
      </c>
      <c r="M181" s="10">
        <f>6.22+3.11</f>
        <v>9.33</v>
      </c>
      <c r="N181" s="7" t="s">
        <v>2</v>
      </c>
      <c r="O181" s="7" t="s">
        <v>2</v>
      </c>
      <c r="P181" s="10">
        <v>72.37</v>
      </c>
      <c r="Q181" s="29" t="s">
        <v>2</v>
      </c>
      <c r="R181" s="32" t="s">
        <v>2</v>
      </c>
      <c r="S181" s="32" t="s">
        <v>2</v>
      </c>
      <c r="T181" s="29">
        <v>9.41</v>
      </c>
      <c r="U181" s="29">
        <f t="shared" si="23"/>
        <v>91.11</v>
      </c>
      <c r="V181" s="4" t="s">
        <v>3</v>
      </c>
      <c r="X181" s="3">
        <f t="shared" si="24"/>
        <v>9.41</v>
      </c>
    </row>
    <row r="182" spans="1:24" hidden="1" x14ac:dyDescent="0.25">
      <c r="A182" s="7" t="s">
        <v>208</v>
      </c>
      <c r="B182" s="4" t="s">
        <v>505</v>
      </c>
      <c r="C182" s="5" t="str">
        <f t="shared" si="20"/>
        <v>16</v>
      </c>
      <c r="D182" s="5" t="str">
        <f t="shared" si="21"/>
        <v>04</v>
      </c>
      <c r="E182" s="4" t="s">
        <v>30</v>
      </c>
      <c r="F182" s="4" t="s">
        <v>31</v>
      </c>
      <c r="G182" s="8" t="str">
        <f t="shared" si="22"/>
        <v>16/04/2021</v>
      </c>
      <c r="H182" s="4" t="s">
        <v>1</v>
      </c>
      <c r="I182" s="4" t="s">
        <v>0</v>
      </c>
      <c r="J182" s="7" t="s">
        <v>546</v>
      </c>
      <c r="K182" s="7" t="s">
        <v>28</v>
      </c>
      <c r="L182" s="9" t="str">
        <f>+VLOOKUP(K182,'[1]BASE DE PROVEEDORES'!$A:$B,2,0)</f>
        <v xml:space="preserve">ACTIVIDADES PETROLERAS DE EL SALVADOR S.A DE C.V </v>
      </c>
      <c r="M182" s="10">
        <f>1.31+0.65</f>
        <v>1.96</v>
      </c>
      <c r="N182" s="7" t="s">
        <v>2</v>
      </c>
      <c r="O182" s="7" t="s">
        <v>2</v>
      </c>
      <c r="P182" s="10">
        <v>15.22</v>
      </c>
      <c r="Q182" s="29" t="s">
        <v>2</v>
      </c>
      <c r="R182" s="32" t="s">
        <v>2</v>
      </c>
      <c r="S182" s="32" t="s">
        <v>2</v>
      </c>
      <c r="T182" s="29">
        <v>1.98</v>
      </c>
      <c r="U182" s="29">
        <f t="shared" si="23"/>
        <v>19.16</v>
      </c>
      <c r="V182" s="4" t="s">
        <v>3</v>
      </c>
      <c r="X182" s="3">
        <f t="shared" si="24"/>
        <v>1.98</v>
      </c>
    </row>
    <row r="183" spans="1:24" hidden="1" x14ac:dyDescent="0.25">
      <c r="A183" s="7" t="s">
        <v>208</v>
      </c>
      <c r="B183" s="4" t="s">
        <v>505</v>
      </c>
      <c r="C183" s="5" t="str">
        <f t="shared" si="20"/>
        <v>16</v>
      </c>
      <c r="D183" s="5" t="str">
        <f t="shared" si="21"/>
        <v>04</v>
      </c>
      <c r="E183" s="4" t="s">
        <v>30</v>
      </c>
      <c r="F183" s="4" t="s">
        <v>31</v>
      </c>
      <c r="G183" s="8" t="str">
        <f t="shared" si="22"/>
        <v>16/04/2021</v>
      </c>
      <c r="H183" s="4" t="s">
        <v>1</v>
      </c>
      <c r="I183" s="4" t="s">
        <v>0</v>
      </c>
      <c r="J183" s="7" t="s">
        <v>596</v>
      </c>
      <c r="K183" s="7" t="s">
        <v>172</v>
      </c>
      <c r="L183" s="9" t="str">
        <f>+VLOOKUP(K183,'[1]BASE DE PROVEEDORES'!$A:$B,2,0)</f>
        <v>MANEJO INTEGRAL DE DESECHOS SOLIDOS SEM DE C.V.</v>
      </c>
      <c r="M183" s="10">
        <v>0</v>
      </c>
      <c r="N183" s="7" t="s">
        <v>2</v>
      </c>
      <c r="O183" s="7" t="s">
        <v>2</v>
      </c>
      <c r="P183" s="10">
        <v>39.869999999999997</v>
      </c>
      <c r="Q183" s="29" t="s">
        <v>2</v>
      </c>
      <c r="R183" s="32" t="s">
        <v>2</v>
      </c>
      <c r="S183" s="32" t="s">
        <v>2</v>
      </c>
      <c r="T183" s="29">
        <v>5.18</v>
      </c>
      <c r="U183" s="29">
        <f t="shared" si="23"/>
        <v>45.05</v>
      </c>
      <c r="V183" s="4" t="s">
        <v>3</v>
      </c>
      <c r="X183" s="3">
        <f t="shared" si="24"/>
        <v>5.18</v>
      </c>
    </row>
    <row r="184" spans="1:24" hidden="1" x14ac:dyDescent="0.25">
      <c r="A184" s="7" t="s">
        <v>208</v>
      </c>
      <c r="B184" s="4" t="s">
        <v>507</v>
      </c>
      <c r="C184" s="5" t="str">
        <f t="shared" si="20"/>
        <v>17</v>
      </c>
      <c r="D184" s="5" t="str">
        <f t="shared" si="21"/>
        <v>04</v>
      </c>
      <c r="E184" s="4" t="s">
        <v>30</v>
      </c>
      <c r="F184" s="4" t="s">
        <v>31</v>
      </c>
      <c r="G184" s="8" t="str">
        <f t="shared" si="22"/>
        <v>17/04/2021</v>
      </c>
      <c r="H184" s="4" t="s">
        <v>1</v>
      </c>
      <c r="I184" s="4" t="s">
        <v>0</v>
      </c>
      <c r="J184" s="7" t="s">
        <v>508</v>
      </c>
      <c r="K184" s="7" t="s">
        <v>45</v>
      </c>
      <c r="L184" s="9" t="str">
        <f>+VLOOKUP(K184,'[1]BASE DE PROVEEDORES'!$A:$B,2,0)</f>
        <v>JOSE RICARDO ANTONIO MOLINA</v>
      </c>
      <c r="M184" s="10">
        <f>6.26+3.13</f>
        <v>9.39</v>
      </c>
      <c r="N184" s="7" t="s">
        <v>2</v>
      </c>
      <c r="O184" s="7" t="s">
        <v>2</v>
      </c>
      <c r="P184" s="10">
        <v>72.87</v>
      </c>
      <c r="Q184" s="29" t="s">
        <v>2</v>
      </c>
      <c r="R184" s="32" t="s">
        <v>2</v>
      </c>
      <c r="S184" s="32" t="s">
        <v>2</v>
      </c>
      <c r="T184" s="29">
        <v>9.4700000000000006</v>
      </c>
      <c r="U184" s="29">
        <f t="shared" si="23"/>
        <v>91.73</v>
      </c>
      <c r="V184" s="4" t="s">
        <v>3</v>
      </c>
      <c r="X184" s="3">
        <f t="shared" si="24"/>
        <v>9.4700000000000006</v>
      </c>
    </row>
    <row r="185" spans="1:24" hidden="1" x14ac:dyDescent="0.25">
      <c r="A185" s="7" t="s">
        <v>208</v>
      </c>
      <c r="B185" s="4" t="s">
        <v>507</v>
      </c>
      <c r="C185" s="5" t="str">
        <f t="shared" si="20"/>
        <v>17</v>
      </c>
      <c r="D185" s="5" t="str">
        <f t="shared" si="21"/>
        <v>04</v>
      </c>
      <c r="E185" s="4" t="s">
        <v>30</v>
      </c>
      <c r="F185" s="4" t="s">
        <v>31</v>
      </c>
      <c r="G185" s="8" t="str">
        <f t="shared" si="22"/>
        <v>17/04/2021</v>
      </c>
      <c r="H185" s="4" t="s">
        <v>1</v>
      </c>
      <c r="I185" s="4" t="s">
        <v>0</v>
      </c>
      <c r="J185" s="7" t="s">
        <v>608</v>
      </c>
      <c r="K185" s="7" t="s">
        <v>172</v>
      </c>
      <c r="L185" s="9" t="str">
        <f>+VLOOKUP(K185,'[1]BASE DE PROVEEDORES'!$A:$B,2,0)</f>
        <v>MANEJO INTEGRAL DE DESECHOS SOLIDOS SEM DE C.V.</v>
      </c>
      <c r="M185" s="10">
        <v>0</v>
      </c>
      <c r="N185" s="7" t="s">
        <v>2</v>
      </c>
      <c r="O185" s="7" t="s">
        <v>2</v>
      </c>
      <c r="P185" s="10">
        <v>64.86</v>
      </c>
      <c r="Q185" s="29" t="s">
        <v>2</v>
      </c>
      <c r="R185" s="32" t="s">
        <v>2</v>
      </c>
      <c r="S185" s="32" t="s">
        <v>2</v>
      </c>
      <c r="T185" s="29">
        <v>8.43</v>
      </c>
      <c r="U185" s="29">
        <f t="shared" si="23"/>
        <v>73.289999999999992</v>
      </c>
      <c r="V185" s="4" t="s">
        <v>3</v>
      </c>
      <c r="X185" s="3">
        <f t="shared" si="24"/>
        <v>8.43</v>
      </c>
    </row>
    <row r="186" spans="1:24" hidden="1" x14ac:dyDescent="0.25">
      <c r="A186" s="7" t="s">
        <v>208</v>
      </c>
      <c r="B186" s="4" t="s">
        <v>509</v>
      </c>
      <c r="C186" s="5" t="str">
        <f t="shared" si="20"/>
        <v>18</v>
      </c>
      <c r="D186" s="5" t="str">
        <f t="shared" si="21"/>
        <v>04</v>
      </c>
      <c r="E186" s="4" t="s">
        <v>30</v>
      </c>
      <c r="F186" s="4" t="s">
        <v>31</v>
      </c>
      <c r="G186" s="8" t="str">
        <f t="shared" si="22"/>
        <v>18/04/2021</v>
      </c>
      <c r="H186" s="4" t="s">
        <v>1</v>
      </c>
      <c r="I186" s="4" t="s">
        <v>0</v>
      </c>
      <c r="J186" s="7" t="s">
        <v>510</v>
      </c>
      <c r="K186" s="7" t="s">
        <v>45</v>
      </c>
      <c r="L186" s="9" t="str">
        <f>+VLOOKUP(K186,'[1]BASE DE PROVEEDORES'!$A:$B,2,0)</f>
        <v>JOSE RICARDO ANTONIO MOLINA</v>
      </c>
      <c r="M186" s="10">
        <f>6.14+3.07</f>
        <v>9.2099999999999991</v>
      </c>
      <c r="N186" s="7" t="s">
        <v>2</v>
      </c>
      <c r="O186" s="7" t="s">
        <v>2</v>
      </c>
      <c r="P186" s="10">
        <v>71.489999999999995</v>
      </c>
      <c r="Q186" s="29" t="s">
        <v>2</v>
      </c>
      <c r="R186" s="32" t="s">
        <v>2</v>
      </c>
      <c r="S186" s="32" t="s">
        <v>2</v>
      </c>
      <c r="T186" s="29">
        <v>9.2899999999999991</v>
      </c>
      <c r="U186" s="29">
        <f t="shared" si="23"/>
        <v>89.989999999999981</v>
      </c>
      <c r="V186" s="4" t="s">
        <v>3</v>
      </c>
      <c r="X186" s="3">
        <f t="shared" si="24"/>
        <v>9.2899999999999991</v>
      </c>
    </row>
    <row r="187" spans="1:24" hidden="1" x14ac:dyDescent="0.25">
      <c r="A187" s="7" t="s">
        <v>208</v>
      </c>
      <c r="B187" s="4" t="s">
        <v>544</v>
      </c>
      <c r="C187" s="5" t="str">
        <f t="shared" si="20"/>
        <v>19</v>
      </c>
      <c r="D187" s="5" t="str">
        <f t="shared" si="21"/>
        <v>04</v>
      </c>
      <c r="E187" s="4" t="s">
        <v>30</v>
      </c>
      <c r="F187" s="4" t="s">
        <v>31</v>
      </c>
      <c r="G187" s="8" t="str">
        <f t="shared" si="22"/>
        <v>19/04/2021</v>
      </c>
      <c r="H187" s="4" t="s">
        <v>1</v>
      </c>
      <c r="I187" s="4" t="s">
        <v>0</v>
      </c>
      <c r="J187" s="7" t="s">
        <v>545</v>
      </c>
      <c r="K187" s="7" t="s">
        <v>28</v>
      </c>
      <c r="L187" s="9" t="str">
        <f>+VLOOKUP(K187,'[1]BASE DE PROVEEDORES'!$A:$B,2,0)</f>
        <v xml:space="preserve">ACTIVIDADES PETROLERAS DE EL SALVADOR S.A DE C.V </v>
      </c>
      <c r="M187" s="10">
        <f>2.35+1.17</f>
        <v>3.52</v>
      </c>
      <c r="N187" s="7" t="s">
        <v>2</v>
      </c>
      <c r="O187" s="7" t="s">
        <v>2</v>
      </c>
      <c r="P187" s="10">
        <v>27.35</v>
      </c>
      <c r="Q187" s="29" t="s">
        <v>2</v>
      </c>
      <c r="R187" s="32" t="s">
        <v>2</v>
      </c>
      <c r="S187" s="32" t="s">
        <v>2</v>
      </c>
      <c r="T187" s="29">
        <v>3.56</v>
      </c>
      <c r="U187" s="29">
        <f t="shared" si="23"/>
        <v>34.43</v>
      </c>
      <c r="V187" s="4" t="s">
        <v>3</v>
      </c>
      <c r="X187" s="3">
        <f t="shared" si="24"/>
        <v>3.56</v>
      </c>
    </row>
    <row r="188" spans="1:24" hidden="1" x14ac:dyDescent="0.25">
      <c r="A188" s="7" t="s">
        <v>208</v>
      </c>
      <c r="B188" s="4" t="s">
        <v>544</v>
      </c>
      <c r="C188" s="5" t="str">
        <f t="shared" si="20"/>
        <v>19</v>
      </c>
      <c r="D188" s="5" t="str">
        <f t="shared" si="21"/>
        <v>04</v>
      </c>
      <c r="E188" s="4" t="s">
        <v>30</v>
      </c>
      <c r="F188" s="4" t="s">
        <v>31</v>
      </c>
      <c r="G188" s="8" t="str">
        <f t="shared" si="22"/>
        <v>19/04/2021</v>
      </c>
      <c r="H188" s="4" t="s">
        <v>1</v>
      </c>
      <c r="I188" s="4" t="s">
        <v>0</v>
      </c>
      <c r="J188" s="7" t="s">
        <v>609</v>
      </c>
      <c r="K188" s="7" t="s">
        <v>172</v>
      </c>
      <c r="L188" s="9" t="str">
        <f>+VLOOKUP(K188,'[1]BASE DE PROVEEDORES'!$A:$B,2,0)</f>
        <v>MANEJO INTEGRAL DE DESECHOS SOLIDOS SEM DE C.V.</v>
      </c>
      <c r="M188" s="10">
        <v>0</v>
      </c>
      <c r="N188" s="7" t="s">
        <v>2</v>
      </c>
      <c r="O188" s="7" t="s">
        <v>2</v>
      </c>
      <c r="P188" s="10">
        <v>44.36</v>
      </c>
      <c r="Q188" s="29" t="s">
        <v>2</v>
      </c>
      <c r="R188" s="32" t="s">
        <v>2</v>
      </c>
      <c r="S188" s="32" t="s">
        <v>2</v>
      </c>
      <c r="T188" s="29">
        <v>5.77</v>
      </c>
      <c r="U188" s="29">
        <f t="shared" si="23"/>
        <v>50.129999999999995</v>
      </c>
      <c r="V188" s="4" t="s">
        <v>3</v>
      </c>
      <c r="X188" s="3">
        <f t="shared" si="24"/>
        <v>5.77</v>
      </c>
    </row>
    <row r="189" spans="1:24" hidden="1" x14ac:dyDescent="0.25">
      <c r="A189" s="7" t="s">
        <v>208</v>
      </c>
      <c r="B189" s="4" t="s">
        <v>544</v>
      </c>
      <c r="C189" s="5" t="str">
        <f t="shared" si="20"/>
        <v>19</v>
      </c>
      <c r="D189" s="5" t="str">
        <f t="shared" si="21"/>
        <v>04</v>
      </c>
      <c r="E189" s="4" t="s">
        <v>30</v>
      </c>
      <c r="F189" s="4" t="s">
        <v>31</v>
      </c>
      <c r="G189" s="8" t="str">
        <f t="shared" si="22"/>
        <v>19/04/2021</v>
      </c>
      <c r="H189" s="4" t="s">
        <v>1</v>
      </c>
      <c r="I189" s="4" t="s">
        <v>0</v>
      </c>
      <c r="J189" s="7" t="s">
        <v>617</v>
      </c>
      <c r="K189" s="7" t="s">
        <v>172</v>
      </c>
      <c r="L189" s="9" t="str">
        <f>+VLOOKUP(K189,'[1]BASE DE PROVEEDORES'!$A:$B,2,0)</f>
        <v>MANEJO INTEGRAL DE DESECHOS SOLIDOS SEM DE C.V.</v>
      </c>
      <c r="M189" s="10">
        <v>0</v>
      </c>
      <c r="N189" s="7" t="s">
        <v>2</v>
      </c>
      <c r="O189" s="7" t="s">
        <v>2</v>
      </c>
      <c r="P189" s="10">
        <v>56.26</v>
      </c>
      <c r="Q189" s="29" t="s">
        <v>2</v>
      </c>
      <c r="R189" s="32" t="s">
        <v>2</v>
      </c>
      <c r="S189" s="32" t="s">
        <v>2</v>
      </c>
      <c r="T189" s="29">
        <v>7.31</v>
      </c>
      <c r="U189" s="29">
        <f t="shared" si="23"/>
        <v>63.57</v>
      </c>
      <c r="V189" s="4" t="s">
        <v>3</v>
      </c>
      <c r="X189" s="3">
        <f t="shared" si="24"/>
        <v>7.31</v>
      </c>
    </row>
    <row r="190" spans="1:24" hidden="1" x14ac:dyDescent="0.25">
      <c r="A190" s="7" t="s">
        <v>208</v>
      </c>
      <c r="B190" s="4" t="s">
        <v>544</v>
      </c>
      <c r="C190" s="5" t="str">
        <f t="shared" si="20"/>
        <v>19</v>
      </c>
      <c r="D190" s="5" t="str">
        <f t="shared" si="21"/>
        <v>04</v>
      </c>
      <c r="E190" s="4" t="s">
        <v>30</v>
      </c>
      <c r="F190" s="4" t="s">
        <v>31</v>
      </c>
      <c r="G190" s="8" t="str">
        <f t="shared" si="22"/>
        <v>19/04/2021</v>
      </c>
      <c r="H190" s="4" t="s">
        <v>1</v>
      </c>
      <c r="I190" s="4" t="s">
        <v>0</v>
      </c>
      <c r="J190" s="7" t="s">
        <v>624</v>
      </c>
      <c r="K190" s="7" t="s">
        <v>172</v>
      </c>
      <c r="L190" s="9" t="str">
        <f>+VLOOKUP(K190,'[1]BASE DE PROVEEDORES'!$A:$B,2,0)</f>
        <v>MANEJO INTEGRAL DE DESECHOS SOLIDOS SEM DE C.V.</v>
      </c>
      <c r="M190" s="10">
        <v>0</v>
      </c>
      <c r="N190" s="7" t="s">
        <v>2</v>
      </c>
      <c r="O190" s="7" t="s">
        <v>2</v>
      </c>
      <c r="P190" s="10">
        <v>56.26</v>
      </c>
      <c r="Q190" s="29" t="s">
        <v>2</v>
      </c>
      <c r="R190" s="32" t="s">
        <v>2</v>
      </c>
      <c r="S190" s="32" t="s">
        <v>2</v>
      </c>
      <c r="T190" s="29">
        <v>7.31</v>
      </c>
      <c r="U190" s="29">
        <f t="shared" si="23"/>
        <v>63.57</v>
      </c>
      <c r="V190" s="4" t="s">
        <v>3</v>
      </c>
      <c r="X190" s="3">
        <f t="shared" si="24"/>
        <v>7.31</v>
      </c>
    </row>
    <row r="191" spans="1:24" hidden="1" x14ac:dyDescent="0.25">
      <c r="A191" s="7" t="s">
        <v>208</v>
      </c>
      <c r="B191" s="4" t="s">
        <v>544</v>
      </c>
      <c r="C191" s="5" t="str">
        <f t="shared" ref="C191:C222" si="25">+LEFT(B191,2)</f>
        <v>19</v>
      </c>
      <c r="D191" s="5" t="str">
        <f t="shared" ref="D191:D222" si="26">+RIGHT(B191,2)</f>
        <v>04</v>
      </c>
      <c r="E191" s="4" t="s">
        <v>30</v>
      </c>
      <c r="F191" s="4" t="s">
        <v>31</v>
      </c>
      <c r="G191" s="8" t="str">
        <f t="shared" ref="G191:G222" si="27">+C191&amp;F191&amp;D191&amp;F191&amp;E191</f>
        <v>19/04/2021</v>
      </c>
      <c r="H191" s="4" t="s">
        <v>1</v>
      </c>
      <c r="I191" s="4" t="s">
        <v>0</v>
      </c>
      <c r="J191" s="7" t="s">
        <v>630</v>
      </c>
      <c r="K191" s="7" t="s">
        <v>172</v>
      </c>
      <c r="L191" s="9" t="str">
        <f>+VLOOKUP(K191,'[1]BASE DE PROVEEDORES'!$A:$B,2,0)</f>
        <v>MANEJO INTEGRAL DE DESECHOS SOLIDOS SEM DE C.V.</v>
      </c>
      <c r="M191" s="10">
        <v>0</v>
      </c>
      <c r="N191" s="7" t="s">
        <v>2</v>
      </c>
      <c r="O191" s="7" t="s">
        <v>2</v>
      </c>
      <c r="P191" s="10">
        <v>28.08</v>
      </c>
      <c r="Q191" s="29" t="s">
        <v>2</v>
      </c>
      <c r="R191" s="32" t="s">
        <v>2</v>
      </c>
      <c r="S191" s="32" t="s">
        <v>2</v>
      </c>
      <c r="T191" s="29">
        <v>3.65</v>
      </c>
      <c r="U191" s="29">
        <f t="shared" ref="U191:U222" si="28">+M191+P191+T191</f>
        <v>31.729999999999997</v>
      </c>
      <c r="V191" s="4" t="s">
        <v>3</v>
      </c>
      <c r="X191" s="3">
        <f t="shared" si="24"/>
        <v>3.65</v>
      </c>
    </row>
    <row r="192" spans="1:24" hidden="1" x14ac:dyDescent="0.25">
      <c r="A192" s="7" t="s">
        <v>208</v>
      </c>
      <c r="B192" s="4" t="s">
        <v>513</v>
      </c>
      <c r="C192" s="5" t="str">
        <f t="shared" si="25"/>
        <v>20</v>
      </c>
      <c r="D192" s="5" t="str">
        <f t="shared" si="26"/>
        <v>04</v>
      </c>
      <c r="E192" s="4" t="s">
        <v>30</v>
      </c>
      <c r="F192" s="4" t="s">
        <v>31</v>
      </c>
      <c r="G192" s="8" t="str">
        <f t="shared" si="27"/>
        <v>20/04/2021</v>
      </c>
      <c r="H192" s="4" t="s">
        <v>1</v>
      </c>
      <c r="I192" s="4" t="s">
        <v>0</v>
      </c>
      <c r="J192" s="7" t="s">
        <v>514</v>
      </c>
      <c r="K192" s="7" t="s">
        <v>45</v>
      </c>
      <c r="L192" s="9" t="str">
        <f>+VLOOKUP(K192,'[1]BASE DE PROVEEDORES'!$A:$B,2,0)</f>
        <v>JOSE RICARDO ANTONIO MOLINA</v>
      </c>
      <c r="M192" s="10">
        <f>5.04+2.52</f>
        <v>7.5600000000000005</v>
      </c>
      <c r="N192" s="7" t="s">
        <v>2</v>
      </c>
      <c r="O192" s="7" t="s">
        <v>2</v>
      </c>
      <c r="P192" s="10">
        <v>57.34</v>
      </c>
      <c r="Q192" s="29" t="s">
        <v>2</v>
      </c>
      <c r="R192" s="32" t="s">
        <v>2</v>
      </c>
      <c r="S192" s="32" t="s">
        <v>2</v>
      </c>
      <c r="T192" s="29">
        <v>7.45</v>
      </c>
      <c r="U192" s="29">
        <f t="shared" si="28"/>
        <v>72.350000000000009</v>
      </c>
      <c r="V192" s="4" t="s">
        <v>3</v>
      </c>
      <c r="X192" s="3">
        <f t="shared" si="24"/>
        <v>7.45</v>
      </c>
    </row>
    <row r="193" spans="1:24" hidden="1" x14ac:dyDescent="0.25">
      <c r="A193" s="7" t="s">
        <v>208</v>
      </c>
      <c r="B193" s="4" t="s">
        <v>513</v>
      </c>
      <c r="C193" s="5" t="str">
        <f t="shared" si="25"/>
        <v>20</v>
      </c>
      <c r="D193" s="5" t="str">
        <f t="shared" si="26"/>
        <v>04</v>
      </c>
      <c r="E193" s="4" t="s">
        <v>30</v>
      </c>
      <c r="F193" s="4" t="s">
        <v>31</v>
      </c>
      <c r="G193" s="8" t="str">
        <f t="shared" si="27"/>
        <v>20/04/2021</v>
      </c>
      <c r="H193" s="4" t="s">
        <v>1</v>
      </c>
      <c r="I193" s="4" t="s">
        <v>0</v>
      </c>
      <c r="J193" s="7" t="s">
        <v>515</v>
      </c>
      <c r="K193" s="7" t="s">
        <v>45</v>
      </c>
      <c r="L193" s="9" t="str">
        <f>+VLOOKUP(K193,'[1]BASE DE PROVEEDORES'!$A:$B,2,0)</f>
        <v>JOSE RICARDO ANTONIO MOLINA</v>
      </c>
      <c r="M193" s="10">
        <f>2.73+2.86</f>
        <v>5.59</v>
      </c>
      <c r="N193" s="7" t="s">
        <v>2</v>
      </c>
      <c r="O193" s="7" t="s">
        <v>2</v>
      </c>
      <c r="P193" s="10">
        <v>65.180000000000007</v>
      </c>
      <c r="Q193" s="29" t="s">
        <v>2</v>
      </c>
      <c r="R193" s="32" t="s">
        <v>2</v>
      </c>
      <c r="S193" s="32" t="s">
        <v>2</v>
      </c>
      <c r="T193" s="29">
        <v>8.4700000000000006</v>
      </c>
      <c r="U193" s="29">
        <f t="shared" si="28"/>
        <v>79.240000000000009</v>
      </c>
      <c r="V193" s="4" t="s">
        <v>3</v>
      </c>
      <c r="X193" s="3">
        <f t="shared" si="24"/>
        <v>8.4700000000000006</v>
      </c>
    </row>
    <row r="194" spans="1:24" hidden="1" x14ac:dyDescent="0.25">
      <c r="A194" s="7" t="s">
        <v>208</v>
      </c>
      <c r="B194" s="4" t="s">
        <v>513</v>
      </c>
      <c r="C194" s="5" t="str">
        <f t="shared" si="25"/>
        <v>20</v>
      </c>
      <c r="D194" s="5" t="str">
        <f t="shared" si="26"/>
        <v>04</v>
      </c>
      <c r="E194" s="4" t="s">
        <v>30</v>
      </c>
      <c r="F194" s="4" t="s">
        <v>31</v>
      </c>
      <c r="G194" s="8" t="str">
        <f t="shared" si="27"/>
        <v>20/04/2021</v>
      </c>
      <c r="H194" s="4" t="s">
        <v>1</v>
      </c>
      <c r="I194" s="4" t="s">
        <v>0</v>
      </c>
      <c r="J194" s="7" t="s">
        <v>516</v>
      </c>
      <c r="K194" s="7" t="s">
        <v>45</v>
      </c>
      <c r="L194" s="9" t="str">
        <f>+VLOOKUP(K194,'[1]BASE DE PROVEEDORES'!$A:$B,2,0)</f>
        <v>JOSE RICARDO ANTONIO MOLINA</v>
      </c>
      <c r="M194" s="10">
        <f>1.82+0.91</f>
        <v>2.73</v>
      </c>
      <c r="N194" s="7" t="s">
        <v>2</v>
      </c>
      <c r="O194" s="7" t="s">
        <v>2</v>
      </c>
      <c r="P194" s="10">
        <v>25.9</v>
      </c>
      <c r="Q194" s="29" t="s">
        <v>2</v>
      </c>
      <c r="R194" s="32" t="s">
        <v>2</v>
      </c>
      <c r="S194" s="32" t="s">
        <v>2</v>
      </c>
      <c r="T194" s="29">
        <v>3.37</v>
      </c>
      <c r="U194" s="29">
        <f t="shared" si="28"/>
        <v>32</v>
      </c>
      <c r="V194" s="4" t="s">
        <v>3</v>
      </c>
      <c r="X194" s="3">
        <f t="shared" si="24"/>
        <v>3.37</v>
      </c>
    </row>
    <row r="195" spans="1:24" hidden="1" x14ac:dyDescent="0.25">
      <c r="A195" s="7" t="s">
        <v>208</v>
      </c>
      <c r="B195" s="4" t="s">
        <v>513</v>
      </c>
      <c r="C195" s="5" t="str">
        <f t="shared" si="25"/>
        <v>20</v>
      </c>
      <c r="D195" s="5" t="str">
        <f t="shared" si="26"/>
        <v>04</v>
      </c>
      <c r="E195" s="4" t="s">
        <v>30</v>
      </c>
      <c r="F195" s="4" t="s">
        <v>31</v>
      </c>
      <c r="G195" s="8" t="str">
        <f t="shared" si="27"/>
        <v>20/04/2021</v>
      </c>
      <c r="H195" s="4" t="s">
        <v>1</v>
      </c>
      <c r="I195" s="4" t="s">
        <v>0</v>
      </c>
      <c r="J195" s="7" t="s">
        <v>517</v>
      </c>
      <c r="K195" s="7" t="s">
        <v>45</v>
      </c>
      <c r="L195" s="9" t="str">
        <f>+VLOOKUP(K195,'[1]BASE DE PROVEEDORES'!$A:$B,2,0)</f>
        <v>JOSE RICARDO ANTONIO MOLINA</v>
      </c>
      <c r="M195" s="10">
        <f>4.86+2.43</f>
        <v>7.2900000000000009</v>
      </c>
      <c r="N195" s="7" t="s">
        <v>2</v>
      </c>
      <c r="O195" s="7" t="s">
        <v>2</v>
      </c>
      <c r="P195" s="10">
        <v>55.32</v>
      </c>
      <c r="Q195" s="29" t="s">
        <v>2</v>
      </c>
      <c r="R195" s="32" t="s">
        <v>2</v>
      </c>
      <c r="S195" s="32" t="s">
        <v>2</v>
      </c>
      <c r="T195" s="29">
        <v>7.19</v>
      </c>
      <c r="U195" s="29">
        <f t="shared" si="28"/>
        <v>69.8</v>
      </c>
      <c r="V195" s="4" t="s">
        <v>3</v>
      </c>
      <c r="X195" s="3">
        <f t="shared" si="24"/>
        <v>7.19</v>
      </c>
    </row>
    <row r="196" spans="1:24" hidden="1" x14ac:dyDescent="0.25">
      <c r="A196" s="7" t="s">
        <v>208</v>
      </c>
      <c r="B196" s="4" t="s">
        <v>513</v>
      </c>
      <c r="C196" s="5" t="str">
        <f t="shared" si="25"/>
        <v>20</v>
      </c>
      <c r="D196" s="5" t="str">
        <f t="shared" si="26"/>
        <v>04</v>
      </c>
      <c r="E196" s="4" t="s">
        <v>30</v>
      </c>
      <c r="F196" s="4" t="s">
        <v>31</v>
      </c>
      <c r="G196" s="8" t="str">
        <f t="shared" si="27"/>
        <v>20/04/2021</v>
      </c>
      <c r="H196" s="4" t="s">
        <v>1</v>
      </c>
      <c r="I196" s="4" t="s">
        <v>0</v>
      </c>
      <c r="J196" s="7" t="s">
        <v>566</v>
      </c>
      <c r="K196" s="7" t="s">
        <v>567</v>
      </c>
      <c r="L196" s="9" t="str">
        <f>+VLOOKUP(K196,'[1]BASE DE PROVEEDORES'!$A:$B,2,0)</f>
        <v>DANIEL ALBETO RUBIO CARCAMO</v>
      </c>
      <c r="M196" s="10">
        <v>0</v>
      </c>
      <c r="N196" s="7" t="s">
        <v>2</v>
      </c>
      <c r="O196" s="7" t="s">
        <v>2</v>
      </c>
      <c r="P196" s="10">
        <v>4.42</v>
      </c>
      <c r="Q196" s="29" t="s">
        <v>2</v>
      </c>
      <c r="R196" s="32" t="s">
        <v>2</v>
      </c>
      <c r="S196" s="32" t="s">
        <v>2</v>
      </c>
      <c r="T196" s="29">
        <v>0.56999999999999995</v>
      </c>
      <c r="U196" s="29">
        <f t="shared" si="28"/>
        <v>4.99</v>
      </c>
      <c r="V196" s="4" t="s">
        <v>3</v>
      </c>
      <c r="X196" s="3">
        <f t="shared" si="24"/>
        <v>0.56999999999999995</v>
      </c>
    </row>
    <row r="197" spans="1:24" hidden="1" x14ac:dyDescent="0.25">
      <c r="A197" s="7" t="s">
        <v>208</v>
      </c>
      <c r="B197" s="4" t="s">
        <v>513</v>
      </c>
      <c r="C197" s="5" t="str">
        <f t="shared" si="25"/>
        <v>20</v>
      </c>
      <c r="D197" s="5" t="str">
        <f t="shared" si="26"/>
        <v>04</v>
      </c>
      <c r="E197" s="4" t="s">
        <v>30</v>
      </c>
      <c r="F197" s="4" t="s">
        <v>31</v>
      </c>
      <c r="G197" s="8" t="str">
        <f t="shared" si="27"/>
        <v>20/04/2021</v>
      </c>
      <c r="H197" s="4" t="s">
        <v>1</v>
      </c>
      <c r="I197" s="4" t="s">
        <v>0</v>
      </c>
      <c r="J197" s="7" t="s">
        <v>576</v>
      </c>
      <c r="K197" s="7" t="s">
        <v>126</v>
      </c>
      <c r="L197" s="9" t="str">
        <f>+VLOOKUP(K197,'[1]BASE DE PROVEEDORES'!$A:$B,2,0)</f>
        <v>REPUESTOS IZALCO S.A DE C.V.</v>
      </c>
      <c r="M197" s="10">
        <v>0</v>
      </c>
      <c r="N197" s="7" t="s">
        <v>2</v>
      </c>
      <c r="O197" s="7" t="s">
        <v>2</v>
      </c>
      <c r="P197" s="10">
        <v>54</v>
      </c>
      <c r="Q197" s="29" t="s">
        <v>2</v>
      </c>
      <c r="R197" s="32" t="s">
        <v>2</v>
      </c>
      <c r="S197" s="32" t="s">
        <v>2</v>
      </c>
      <c r="T197" s="29">
        <v>7.02</v>
      </c>
      <c r="U197" s="29">
        <f t="shared" si="28"/>
        <v>61.019999999999996</v>
      </c>
      <c r="V197" s="4" t="s">
        <v>3</v>
      </c>
      <c r="X197" s="3">
        <f t="shared" si="24"/>
        <v>7.02</v>
      </c>
    </row>
    <row r="198" spans="1:24" hidden="1" x14ac:dyDescent="0.25">
      <c r="A198" s="7" t="s">
        <v>208</v>
      </c>
      <c r="B198" s="4" t="s">
        <v>513</v>
      </c>
      <c r="C198" s="5" t="str">
        <f t="shared" si="25"/>
        <v>20</v>
      </c>
      <c r="D198" s="5" t="str">
        <f t="shared" si="26"/>
        <v>04</v>
      </c>
      <c r="E198" s="4" t="s">
        <v>30</v>
      </c>
      <c r="F198" s="4" t="s">
        <v>31</v>
      </c>
      <c r="G198" s="8" t="str">
        <f t="shared" si="27"/>
        <v>20/04/2021</v>
      </c>
      <c r="H198" s="4" t="s">
        <v>1</v>
      </c>
      <c r="I198" s="4" t="s">
        <v>0</v>
      </c>
      <c r="J198" s="7" t="s">
        <v>581</v>
      </c>
      <c r="K198" s="7" t="s">
        <v>582</v>
      </c>
      <c r="L198" s="9" t="str">
        <f>+VLOOKUP(K198,'[1]BASE DE PROVEEDORES'!$A:$B,2,0)</f>
        <v>IMPRESSA S.A DE C.V.</v>
      </c>
      <c r="M198" s="10">
        <v>0</v>
      </c>
      <c r="N198" s="7" t="s">
        <v>2</v>
      </c>
      <c r="O198" s="7" t="s">
        <v>2</v>
      </c>
      <c r="P198" s="10">
        <v>8.44</v>
      </c>
      <c r="Q198" s="29" t="s">
        <v>2</v>
      </c>
      <c r="R198" s="32" t="s">
        <v>2</v>
      </c>
      <c r="S198" s="32" t="s">
        <v>2</v>
      </c>
      <c r="T198" s="29">
        <v>1.1000000000000001</v>
      </c>
      <c r="U198" s="29">
        <f t="shared" si="28"/>
        <v>9.5399999999999991</v>
      </c>
      <c r="V198" s="4" t="s">
        <v>3</v>
      </c>
      <c r="X198" s="3">
        <f t="shared" si="24"/>
        <v>1.1000000000000001</v>
      </c>
    </row>
    <row r="199" spans="1:24" hidden="1" x14ac:dyDescent="0.25">
      <c r="A199" s="7" t="s">
        <v>208</v>
      </c>
      <c r="B199" s="4" t="s">
        <v>513</v>
      </c>
      <c r="C199" s="5" t="str">
        <f t="shared" si="25"/>
        <v>20</v>
      </c>
      <c r="D199" s="5" t="str">
        <f t="shared" si="26"/>
        <v>04</v>
      </c>
      <c r="E199" s="4" t="s">
        <v>30</v>
      </c>
      <c r="F199" s="4" t="s">
        <v>31</v>
      </c>
      <c r="G199" s="8" t="str">
        <f t="shared" si="27"/>
        <v>20/04/2021</v>
      </c>
      <c r="H199" s="4" t="s">
        <v>1</v>
      </c>
      <c r="I199" s="4" t="s">
        <v>0</v>
      </c>
      <c r="J199" s="7" t="s">
        <v>583</v>
      </c>
      <c r="K199" s="7" t="s">
        <v>149</v>
      </c>
      <c r="L199" s="9" t="str">
        <f>+VLOOKUP(K199,'[1]BASE DE PROVEEDORES'!$A:$B,2,0)</f>
        <v>TRANPORTES PESADOS S.A DE C.V.</v>
      </c>
      <c r="M199" s="10">
        <v>0</v>
      </c>
      <c r="N199" s="7" t="s">
        <v>2</v>
      </c>
      <c r="O199" s="7" t="s">
        <v>2</v>
      </c>
      <c r="P199" s="10">
        <v>238.79</v>
      </c>
      <c r="Q199" s="29" t="s">
        <v>2</v>
      </c>
      <c r="R199" s="32" t="s">
        <v>2</v>
      </c>
      <c r="S199" s="32" t="s">
        <v>2</v>
      </c>
      <c r="T199" s="29">
        <v>31.04</v>
      </c>
      <c r="U199" s="29">
        <f t="shared" si="28"/>
        <v>269.83</v>
      </c>
      <c r="V199" s="4" t="s">
        <v>3</v>
      </c>
      <c r="X199" s="3">
        <f t="shared" si="24"/>
        <v>31.04</v>
      </c>
    </row>
    <row r="200" spans="1:24" hidden="1" x14ac:dyDescent="0.25">
      <c r="A200" s="7" t="s">
        <v>208</v>
      </c>
      <c r="B200" s="4" t="s">
        <v>513</v>
      </c>
      <c r="C200" s="5" t="str">
        <f t="shared" si="25"/>
        <v>20</v>
      </c>
      <c r="D200" s="5" t="str">
        <f t="shared" si="26"/>
        <v>04</v>
      </c>
      <c r="E200" s="4" t="s">
        <v>30</v>
      </c>
      <c r="F200" s="4" t="s">
        <v>31</v>
      </c>
      <c r="G200" s="8" t="str">
        <f t="shared" si="27"/>
        <v>20/04/2021</v>
      </c>
      <c r="H200" s="4" t="s">
        <v>1</v>
      </c>
      <c r="I200" s="4" t="s">
        <v>0</v>
      </c>
      <c r="J200" s="7" t="s">
        <v>585</v>
      </c>
      <c r="K200" s="7" t="s">
        <v>586</v>
      </c>
      <c r="L200" s="9" t="str">
        <f>+VLOOKUP(K200,'[1]BASE DE PROVEEDORES'!$A:$B,2,0)</f>
        <v>MELIZA ORTIZ PEDROZA</v>
      </c>
      <c r="M200" s="10">
        <v>0</v>
      </c>
      <c r="N200" s="7" t="s">
        <v>2</v>
      </c>
      <c r="O200" s="7" t="s">
        <v>2</v>
      </c>
      <c r="P200" s="10">
        <v>2.21</v>
      </c>
      <c r="Q200" s="29" t="s">
        <v>2</v>
      </c>
      <c r="R200" s="32" t="s">
        <v>2</v>
      </c>
      <c r="S200" s="32" t="s">
        <v>2</v>
      </c>
      <c r="T200" s="29">
        <v>0.28999999999999998</v>
      </c>
      <c r="U200" s="29">
        <f t="shared" si="28"/>
        <v>2.5</v>
      </c>
      <c r="V200" s="4" t="s">
        <v>3</v>
      </c>
      <c r="X200" s="3">
        <f t="shared" si="24"/>
        <v>0.28999999999999998</v>
      </c>
    </row>
    <row r="201" spans="1:24" hidden="1" x14ac:dyDescent="0.25">
      <c r="A201" s="7" t="s">
        <v>208</v>
      </c>
      <c r="B201" s="4" t="s">
        <v>513</v>
      </c>
      <c r="C201" s="5" t="str">
        <f t="shared" si="25"/>
        <v>20</v>
      </c>
      <c r="D201" s="5" t="str">
        <f t="shared" si="26"/>
        <v>04</v>
      </c>
      <c r="E201" s="4" t="s">
        <v>30</v>
      </c>
      <c r="F201" s="4" t="s">
        <v>31</v>
      </c>
      <c r="G201" s="8" t="str">
        <f t="shared" si="27"/>
        <v>20/04/2021</v>
      </c>
      <c r="H201" s="4" t="s">
        <v>1</v>
      </c>
      <c r="I201" s="4" t="s">
        <v>0</v>
      </c>
      <c r="J201" s="7" t="s">
        <v>186</v>
      </c>
      <c r="K201" s="7" t="s">
        <v>587</v>
      </c>
      <c r="L201" s="9" t="str">
        <f>+VLOOKUP(K201,'[1]BASE DE PROVEEDORES'!$A:$B,2,0)</f>
        <v>MIRIAN GAMEZ DE MENJIVAR</v>
      </c>
      <c r="M201" s="10">
        <v>0</v>
      </c>
      <c r="N201" s="7" t="s">
        <v>2</v>
      </c>
      <c r="O201" s="7" t="s">
        <v>2</v>
      </c>
      <c r="P201" s="10">
        <v>130.09</v>
      </c>
      <c r="Q201" s="29" t="s">
        <v>2</v>
      </c>
      <c r="R201" s="32" t="s">
        <v>2</v>
      </c>
      <c r="S201" s="32" t="s">
        <v>2</v>
      </c>
      <c r="T201" s="29">
        <v>16.91</v>
      </c>
      <c r="U201" s="29">
        <f t="shared" si="28"/>
        <v>147</v>
      </c>
      <c r="V201" s="4" t="s">
        <v>3</v>
      </c>
      <c r="X201" s="3">
        <f t="shared" si="24"/>
        <v>16.91</v>
      </c>
    </row>
    <row r="202" spans="1:24" hidden="1" x14ac:dyDescent="0.25">
      <c r="A202" s="7" t="s">
        <v>208</v>
      </c>
      <c r="B202" s="4" t="s">
        <v>513</v>
      </c>
      <c r="C202" s="5" t="str">
        <f t="shared" si="25"/>
        <v>20</v>
      </c>
      <c r="D202" s="5" t="str">
        <f t="shared" si="26"/>
        <v>04</v>
      </c>
      <c r="E202" s="4" t="s">
        <v>30</v>
      </c>
      <c r="F202" s="4" t="s">
        <v>31</v>
      </c>
      <c r="G202" s="8" t="str">
        <f t="shared" si="27"/>
        <v>20/04/2021</v>
      </c>
      <c r="H202" s="4" t="s">
        <v>1</v>
      </c>
      <c r="I202" s="4" t="s">
        <v>0</v>
      </c>
      <c r="J202" s="7" t="s">
        <v>597</v>
      </c>
      <c r="K202" s="7" t="s">
        <v>172</v>
      </c>
      <c r="L202" s="9" t="str">
        <f>+VLOOKUP(K202,'[1]BASE DE PROVEEDORES'!$A:$B,2,0)</f>
        <v>MANEJO INTEGRAL DE DESECHOS SOLIDOS SEM DE C.V.</v>
      </c>
      <c r="M202" s="10">
        <v>0</v>
      </c>
      <c r="N202" s="7" t="s">
        <v>2</v>
      </c>
      <c r="O202" s="7" t="s">
        <v>2</v>
      </c>
      <c r="P202" s="10">
        <v>50.82</v>
      </c>
      <c r="Q202" s="29" t="s">
        <v>2</v>
      </c>
      <c r="R202" s="32" t="s">
        <v>2</v>
      </c>
      <c r="S202" s="32" t="s">
        <v>2</v>
      </c>
      <c r="T202" s="29">
        <v>6.61</v>
      </c>
      <c r="U202" s="29">
        <f t="shared" si="28"/>
        <v>57.43</v>
      </c>
      <c r="V202" s="4" t="s">
        <v>3</v>
      </c>
      <c r="X202" s="3">
        <f t="shared" si="24"/>
        <v>6.61</v>
      </c>
    </row>
    <row r="203" spans="1:24" hidden="1" x14ac:dyDescent="0.25">
      <c r="A203" s="7" t="s">
        <v>208</v>
      </c>
      <c r="B203" s="4" t="s">
        <v>532</v>
      </c>
      <c r="C203" s="5" t="str">
        <f t="shared" si="25"/>
        <v>21</v>
      </c>
      <c r="D203" s="5" t="str">
        <f t="shared" si="26"/>
        <v>04</v>
      </c>
      <c r="E203" s="4" t="s">
        <v>30</v>
      </c>
      <c r="F203" s="4" t="s">
        <v>31</v>
      </c>
      <c r="G203" s="8" t="str">
        <f t="shared" si="27"/>
        <v>21/04/2021</v>
      </c>
      <c r="H203" s="4" t="s">
        <v>1</v>
      </c>
      <c r="I203" s="4" t="s">
        <v>0</v>
      </c>
      <c r="J203" s="7" t="s">
        <v>533</v>
      </c>
      <c r="K203" s="7" t="s">
        <v>534</v>
      </c>
      <c r="L203" s="9" t="str">
        <f>+VLOOKUP(K203,'[1]BASE DE PROVEEDORES'!$A:$B,2,0)</f>
        <v>CENTROAMERICA COMERCIAL S.A DE C.V.</v>
      </c>
      <c r="M203" s="10">
        <v>0</v>
      </c>
      <c r="N203" s="7" t="s">
        <v>2</v>
      </c>
      <c r="O203" s="7" t="s">
        <v>2</v>
      </c>
      <c r="P203" s="10">
        <v>8.85</v>
      </c>
      <c r="Q203" s="29" t="s">
        <v>2</v>
      </c>
      <c r="R203" s="32" t="s">
        <v>2</v>
      </c>
      <c r="S203" s="32" t="s">
        <v>2</v>
      </c>
      <c r="T203" s="29">
        <v>1.1499999999999999</v>
      </c>
      <c r="U203" s="29">
        <f t="shared" si="28"/>
        <v>10</v>
      </c>
      <c r="V203" s="4" t="s">
        <v>3</v>
      </c>
      <c r="X203" s="3">
        <f t="shared" si="24"/>
        <v>1.1499999999999999</v>
      </c>
    </row>
    <row r="204" spans="1:24" hidden="1" x14ac:dyDescent="0.25">
      <c r="A204" s="7" t="s">
        <v>208</v>
      </c>
      <c r="B204" s="4" t="s">
        <v>532</v>
      </c>
      <c r="C204" s="5" t="str">
        <f t="shared" si="25"/>
        <v>21</v>
      </c>
      <c r="D204" s="5" t="str">
        <f t="shared" si="26"/>
        <v>04</v>
      </c>
      <c r="E204" s="4" t="s">
        <v>30</v>
      </c>
      <c r="F204" s="4" t="s">
        <v>31</v>
      </c>
      <c r="G204" s="8" t="str">
        <f t="shared" si="27"/>
        <v>21/04/2021</v>
      </c>
      <c r="H204" s="4" t="s">
        <v>1</v>
      </c>
      <c r="I204" s="4" t="s">
        <v>0</v>
      </c>
      <c r="J204" s="7" t="s">
        <v>580</v>
      </c>
      <c r="K204" s="7" t="s">
        <v>233</v>
      </c>
      <c r="L204" s="9" t="str">
        <f>+VLOOKUP(K204,'[1]BASE DE PROVEEDORES'!$A:$B,2,0)</f>
        <v xml:space="preserve">SUPER REPUESTOS EL SALVADOR </v>
      </c>
      <c r="M204" s="10">
        <v>0</v>
      </c>
      <c r="N204" s="7" t="s">
        <v>2</v>
      </c>
      <c r="O204" s="7" t="s">
        <v>2</v>
      </c>
      <c r="P204" s="10">
        <v>10.8</v>
      </c>
      <c r="Q204" s="29" t="s">
        <v>2</v>
      </c>
      <c r="R204" s="32" t="s">
        <v>2</v>
      </c>
      <c r="S204" s="32" t="s">
        <v>2</v>
      </c>
      <c r="T204" s="29">
        <v>1.4</v>
      </c>
      <c r="U204" s="29">
        <f t="shared" si="28"/>
        <v>12.200000000000001</v>
      </c>
      <c r="V204" s="4" t="s">
        <v>3</v>
      </c>
      <c r="X204" s="3">
        <f t="shared" si="24"/>
        <v>1.4</v>
      </c>
    </row>
    <row r="205" spans="1:24" hidden="1" x14ac:dyDescent="0.25">
      <c r="A205" s="7" t="s">
        <v>208</v>
      </c>
      <c r="B205" s="4" t="s">
        <v>532</v>
      </c>
      <c r="C205" s="5" t="str">
        <f t="shared" si="25"/>
        <v>21</v>
      </c>
      <c r="D205" s="5" t="str">
        <f t="shared" si="26"/>
        <v>04</v>
      </c>
      <c r="E205" s="4" t="s">
        <v>30</v>
      </c>
      <c r="F205" s="4" t="s">
        <v>31</v>
      </c>
      <c r="G205" s="8" t="str">
        <f t="shared" si="27"/>
        <v>21/04/2021</v>
      </c>
      <c r="H205" s="4" t="s">
        <v>1</v>
      </c>
      <c r="I205" s="4" t="s">
        <v>0</v>
      </c>
      <c r="J205" s="7" t="s">
        <v>610</v>
      </c>
      <c r="K205" s="7" t="s">
        <v>172</v>
      </c>
      <c r="L205" s="9" t="str">
        <f>+VLOOKUP(K205,'[1]BASE DE PROVEEDORES'!$A:$B,2,0)</f>
        <v>MANEJO INTEGRAL DE DESECHOS SOLIDOS SEM DE C.V.</v>
      </c>
      <c r="M205" s="10">
        <v>0</v>
      </c>
      <c r="N205" s="7" t="s">
        <v>2</v>
      </c>
      <c r="O205" s="7" t="s">
        <v>2</v>
      </c>
      <c r="P205" s="10">
        <v>97.43</v>
      </c>
      <c r="Q205" s="29" t="s">
        <v>2</v>
      </c>
      <c r="R205" s="32" t="s">
        <v>2</v>
      </c>
      <c r="S205" s="32" t="s">
        <v>2</v>
      </c>
      <c r="T205" s="29">
        <v>12.67</v>
      </c>
      <c r="U205" s="29">
        <f t="shared" si="28"/>
        <v>110.10000000000001</v>
      </c>
      <c r="V205" s="4" t="s">
        <v>3</v>
      </c>
      <c r="X205" s="3">
        <f t="shared" si="24"/>
        <v>12.67</v>
      </c>
    </row>
    <row r="206" spans="1:24" hidden="1" x14ac:dyDescent="0.25">
      <c r="A206" s="7" t="s">
        <v>208</v>
      </c>
      <c r="B206" s="4" t="s">
        <v>532</v>
      </c>
      <c r="C206" s="5" t="str">
        <f t="shared" si="25"/>
        <v>21</v>
      </c>
      <c r="D206" s="5" t="str">
        <f t="shared" si="26"/>
        <v>04</v>
      </c>
      <c r="E206" s="4" t="s">
        <v>30</v>
      </c>
      <c r="F206" s="4" t="s">
        <v>31</v>
      </c>
      <c r="G206" s="8" t="str">
        <f t="shared" si="27"/>
        <v>21/04/2021</v>
      </c>
      <c r="H206" s="4" t="s">
        <v>1</v>
      </c>
      <c r="I206" s="4" t="s">
        <v>0</v>
      </c>
      <c r="J206" s="7" t="s">
        <v>633</v>
      </c>
      <c r="K206" s="7" t="s">
        <v>172</v>
      </c>
      <c r="L206" s="9" t="str">
        <f>+VLOOKUP(K206,'[1]BASE DE PROVEEDORES'!$A:$B,2,0)</f>
        <v>MANEJO INTEGRAL DE DESECHOS SOLIDOS SEM DE C.V.</v>
      </c>
      <c r="M206" s="10">
        <v>0</v>
      </c>
      <c r="N206" s="7" t="s">
        <v>2</v>
      </c>
      <c r="O206" s="7" t="s">
        <v>2</v>
      </c>
      <c r="P206" s="10">
        <v>28.08</v>
      </c>
      <c r="Q206" s="29" t="s">
        <v>2</v>
      </c>
      <c r="R206" s="32" t="s">
        <v>2</v>
      </c>
      <c r="S206" s="32" t="s">
        <v>2</v>
      </c>
      <c r="T206" s="29">
        <v>3.65</v>
      </c>
      <c r="U206" s="29">
        <f t="shared" si="28"/>
        <v>31.729999999999997</v>
      </c>
      <c r="V206" s="4" t="s">
        <v>3</v>
      </c>
      <c r="X206" s="3">
        <f t="shared" si="24"/>
        <v>3.65</v>
      </c>
    </row>
    <row r="207" spans="1:24" hidden="1" x14ac:dyDescent="0.25">
      <c r="A207" s="7" t="s">
        <v>208</v>
      </c>
      <c r="B207" s="4" t="s">
        <v>518</v>
      </c>
      <c r="C207" s="5" t="str">
        <f t="shared" si="25"/>
        <v>22</v>
      </c>
      <c r="D207" s="5" t="str">
        <f t="shared" si="26"/>
        <v>04</v>
      </c>
      <c r="E207" s="4" t="s">
        <v>30</v>
      </c>
      <c r="F207" s="4" t="s">
        <v>31</v>
      </c>
      <c r="G207" s="8" t="str">
        <f t="shared" si="27"/>
        <v>22/04/2021</v>
      </c>
      <c r="H207" s="4" t="s">
        <v>1</v>
      </c>
      <c r="I207" s="4" t="s">
        <v>0</v>
      </c>
      <c r="J207" s="7" t="s">
        <v>519</v>
      </c>
      <c r="K207" s="7" t="s">
        <v>45</v>
      </c>
      <c r="L207" s="9" t="str">
        <f>+VLOOKUP(K207,'[1]BASE DE PROVEEDORES'!$A:$B,2,0)</f>
        <v>JOSE RICARDO ANTONIO MOLINA</v>
      </c>
      <c r="M207" s="10">
        <f>7.4+3.7</f>
        <v>11.100000000000001</v>
      </c>
      <c r="N207" s="7" t="s">
        <v>2</v>
      </c>
      <c r="O207" s="7" t="s">
        <v>2</v>
      </c>
      <c r="P207" s="10">
        <v>84.17</v>
      </c>
      <c r="Q207" s="29" t="s">
        <v>2</v>
      </c>
      <c r="R207" s="32" t="s">
        <v>2</v>
      </c>
      <c r="S207" s="32" t="s">
        <v>2</v>
      </c>
      <c r="T207" s="29">
        <v>10.94</v>
      </c>
      <c r="U207" s="29">
        <f t="shared" si="28"/>
        <v>106.21000000000001</v>
      </c>
      <c r="V207" s="4" t="s">
        <v>3</v>
      </c>
      <c r="X207" s="3">
        <f t="shared" si="24"/>
        <v>10.94</v>
      </c>
    </row>
    <row r="208" spans="1:24" hidden="1" x14ac:dyDescent="0.25">
      <c r="A208" s="7" t="s">
        <v>208</v>
      </c>
      <c r="B208" s="4" t="s">
        <v>518</v>
      </c>
      <c r="C208" s="5" t="str">
        <f t="shared" si="25"/>
        <v>22</v>
      </c>
      <c r="D208" s="5" t="str">
        <f t="shared" si="26"/>
        <v>04</v>
      </c>
      <c r="E208" s="4" t="s">
        <v>30</v>
      </c>
      <c r="F208" s="4" t="s">
        <v>31</v>
      </c>
      <c r="G208" s="8" t="str">
        <f t="shared" si="27"/>
        <v>22/04/2021</v>
      </c>
      <c r="H208" s="4" t="s">
        <v>1</v>
      </c>
      <c r="I208" s="4" t="s">
        <v>0</v>
      </c>
      <c r="J208" s="7" t="s">
        <v>520</v>
      </c>
      <c r="K208" s="7" t="s">
        <v>45</v>
      </c>
      <c r="L208" s="9" t="str">
        <f>+VLOOKUP(K208,'[1]BASE DE PROVEEDORES'!$A:$B,2,0)</f>
        <v>JOSE RICARDO ANTONIO MOLINA</v>
      </c>
      <c r="M208" s="10">
        <f>4.01+2.01</f>
        <v>6.02</v>
      </c>
      <c r="N208" s="7" t="s">
        <v>2</v>
      </c>
      <c r="O208" s="7" t="s">
        <v>2</v>
      </c>
      <c r="P208" s="10">
        <v>45.64</v>
      </c>
      <c r="Q208" s="29" t="s">
        <v>2</v>
      </c>
      <c r="R208" s="32" t="s">
        <v>2</v>
      </c>
      <c r="S208" s="32" t="s">
        <v>2</v>
      </c>
      <c r="T208" s="29">
        <v>5.93</v>
      </c>
      <c r="U208" s="29">
        <f t="shared" si="28"/>
        <v>57.589999999999996</v>
      </c>
      <c r="V208" s="4" t="s">
        <v>3</v>
      </c>
      <c r="X208" s="3">
        <f t="shared" si="24"/>
        <v>5.93</v>
      </c>
    </row>
    <row r="209" spans="1:24" hidden="1" x14ac:dyDescent="0.25">
      <c r="A209" s="7" t="s">
        <v>208</v>
      </c>
      <c r="B209" s="4" t="s">
        <v>518</v>
      </c>
      <c r="C209" s="5" t="str">
        <f t="shared" si="25"/>
        <v>22</v>
      </c>
      <c r="D209" s="5" t="str">
        <f t="shared" si="26"/>
        <v>04</v>
      </c>
      <c r="E209" s="4" t="s">
        <v>30</v>
      </c>
      <c r="F209" s="4" t="s">
        <v>31</v>
      </c>
      <c r="G209" s="8" t="str">
        <f t="shared" si="27"/>
        <v>22/04/2021</v>
      </c>
      <c r="H209" s="4" t="s">
        <v>1</v>
      </c>
      <c r="I209" s="4" t="s">
        <v>0</v>
      </c>
      <c r="J209" s="7" t="s">
        <v>542</v>
      </c>
      <c r="K209" s="7" t="s">
        <v>28</v>
      </c>
      <c r="L209" s="9" t="str">
        <f>+VLOOKUP(K209,'[1]BASE DE PROVEEDORES'!$A:$B,2,0)</f>
        <v xml:space="preserve">ACTIVIDADES PETROLERAS DE EL SALVADOR S.A DE C.V </v>
      </c>
      <c r="M209" s="10">
        <f>2.63+1.32</f>
        <v>3.95</v>
      </c>
      <c r="N209" s="7" t="s">
        <v>2</v>
      </c>
      <c r="O209" s="7" t="s">
        <v>2</v>
      </c>
      <c r="P209" s="10">
        <v>29.95</v>
      </c>
      <c r="Q209" s="29" t="s">
        <v>2</v>
      </c>
      <c r="R209" s="32" t="s">
        <v>2</v>
      </c>
      <c r="S209" s="32" t="s">
        <v>2</v>
      </c>
      <c r="T209" s="29">
        <v>3.89</v>
      </c>
      <c r="U209" s="29">
        <f t="shared" si="28"/>
        <v>37.79</v>
      </c>
      <c r="V209" s="4" t="s">
        <v>3</v>
      </c>
      <c r="X209" s="3">
        <f t="shared" si="24"/>
        <v>3.89</v>
      </c>
    </row>
    <row r="210" spans="1:24" hidden="1" x14ac:dyDescent="0.25">
      <c r="A210" s="7" t="s">
        <v>208</v>
      </c>
      <c r="B210" s="4" t="s">
        <v>518</v>
      </c>
      <c r="C210" s="5" t="str">
        <f t="shared" si="25"/>
        <v>22</v>
      </c>
      <c r="D210" s="5" t="str">
        <f t="shared" si="26"/>
        <v>04</v>
      </c>
      <c r="E210" s="4" t="s">
        <v>30</v>
      </c>
      <c r="F210" s="4" t="s">
        <v>31</v>
      </c>
      <c r="G210" s="8" t="str">
        <f t="shared" si="27"/>
        <v>22/04/2021</v>
      </c>
      <c r="H210" s="4" t="s">
        <v>1</v>
      </c>
      <c r="I210" s="4" t="s">
        <v>0</v>
      </c>
      <c r="J210" s="7" t="s">
        <v>543</v>
      </c>
      <c r="K210" s="7" t="s">
        <v>28</v>
      </c>
      <c r="L210" s="9" t="str">
        <f>+VLOOKUP(K210,'[1]BASE DE PROVEEDORES'!$A:$B,2,0)</f>
        <v xml:space="preserve">ACTIVIDADES PETROLERAS DE EL SALVADOR S.A DE C.V </v>
      </c>
      <c r="M210" s="10">
        <f>3.44+1.72</f>
        <v>5.16</v>
      </c>
      <c r="N210" s="7" t="s">
        <v>2</v>
      </c>
      <c r="O210" s="7" t="s">
        <v>2</v>
      </c>
      <c r="P210" s="10">
        <v>39.200000000000003</v>
      </c>
      <c r="Q210" s="29" t="s">
        <v>2</v>
      </c>
      <c r="R210" s="32" t="s">
        <v>2</v>
      </c>
      <c r="S210" s="32" t="s">
        <v>2</v>
      </c>
      <c r="T210" s="29">
        <v>5.0999999999999996</v>
      </c>
      <c r="U210" s="29">
        <f t="shared" si="28"/>
        <v>49.46</v>
      </c>
      <c r="V210" s="4" t="s">
        <v>3</v>
      </c>
      <c r="X210" s="3">
        <f t="shared" si="24"/>
        <v>5.0999999999999996</v>
      </c>
    </row>
    <row r="211" spans="1:24" hidden="1" x14ac:dyDescent="0.25">
      <c r="A211" s="7" t="s">
        <v>208</v>
      </c>
      <c r="B211" s="4" t="s">
        <v>518</v>
      </c>
      <c r="C211" s="5" t="str">
        <f t="shared" si="25"/>
        <v>22</v>
      </c>
      <c r="D211" s="5" t="str">
        <f t="shared" si="26"/>
        <v>04</v>
      </c>
      <c r="E211" s="4" t="s">
        <v>30</v>
      </c>
      <c r="F211" s="4" t="s">
        <v>31</v>
      </c>
      <c r="G211" s="8" t="str">
        <f t="shared" si="27"/>
        <v>22/04/2021</v>
      </c>
      <c r="H211" s="4" t="s">
        <v>1</v>
      </c>
      <c r="I211" s="4" t="s">
        <v>0</v>
      </c>
      <c r="J211" s="7" t="s">
        <v>611</v>
      </c>
      <c r="K211" s="7" t="s">
        <v>172</v>
      </c>
      <c r="L211" s="9" t="str">
        <f>+VLOOKUP(K211,'[1]BASE DE PROVEEDORES'!$A:$B,2,0)</f>
        <v>MANEJO INTEGRAL DE DESECHOS SOLIDOS SEM DE C.V.</v>
      </c>
      <c r="M211" s="10">
        <v>0</v>
      </c>
      <c r="N211" s="7" t="s">
        <v>2</v>
      </c>
      <c r="O211" s="7" t="s">
        <v>2</v>
      </c>
      <c r="P211" s="10">
        <v>55.59</v>
      </c>
      <c r="Q211" s="29" t="s">
        <v>2</v>
      </c>
      <c r="R211" s="32" t="s">
        <v>2</v>
      </c>
      <c r="S211" s="32" t="s">
        <v>2</v>
      </c>
      <c r="T211" s="29">
        <v>7.23</v>
      </c>
      <c r="U211" s="29">
        <f t="shared" si="28"/>
        <v>62.820000000000007</v>
      </c>
      <c r="V211" s="4" t="s">
        <v>3</v>
      </c>
      <c r="X211" s="3">
        <f t="shared" si="24"/>
        <v>7.23</v>
      </c>
    </row>
    <row r="212" spans="1:24" hidden="1" x14ac:dyDescent="0.25">
      <c r="A212" s="7" t="s">
        <v>208</v>
      </c>
      <c r="B212" s="4" t="s">
        <v>518</v>
      </c>
      <c r="C212" s="5" t="str">
        <f t="shared" si="25"/>
        <v>22</v>
      </c>
      <c r="D212" s="5" t="str">
        <f t="shared" si="26"/>
        <v>04</v>
      </c>
      <c r="E212" s="4" t="s">
        <v>30</v>
      </c>
      <c r="F212" s="4" t="s">
        <v>31</v>
      </c>
      <c r="G212" s="8" t="str">
        <f t="shared" si="27"/>
        <v>22/04/2021</v>
      </c>
      <c r="H212" s="4" t="s">
        <v>1</v>
      </c>
      <c r="I212" s="4" t="s">
        <v>0</v>
      </c>
      <c r="J212" s="7" t="s">
        <v>634</v>
      </c>
      <c r="K212" s="7" t="s">
        <v>172</v>
      </c>
      <c r="L212" s="9" t="str">
        <f>+VLOOKUP(K212,'[1]BASE DE PROVEEDORES'!$A:$B,2,0)</f>
        <v>MANEJO INTEGRAL DE DESECHOS SOLIDOS SEM DE C.V.</v>
      </c>
      <c r="M212" s="10">
        <v>0</v>
      </c>
      <c r="N212" s="7" t="s">
        <v>2</v>
      </c>
      <c r="O212" s="7" t="s">
        <v>2</v>
      </c>
      <c r="P212" s="10">
        <v>28.08</v>
      </c>
      <c r="Q212" s="29" t="s">
        <v>2</v>
      </c>
      <c r="R212" s="32" t="s">
        <v>2</v>
      </c>
      <c r="S212" s="32" t="s">
        <v>2</v>
      </c>
      <c r="T212" s="29">
        <v>3.65</v>
      </c>
      <c r="U212" s="29">
        <f t="shared" si="28"/>
        <v>31.729999999999997</v>
      </c>
      <c r="V212" s="4" t="s">
        <v>3</v>
      </c>
      <c r="X212" s="3">
        <f t="shared" si="24"/>
        <v>3.65</v>
      </c>
    </row>
    <row r="213" spans="1:24" hidden="1" x14ac:dyDescent="0.25">
      <c r="A213" s="7" t="s">
        <v>208</v>
      </c>
      <c r="B213" s="4" t="s">
        <v>598</v>
      </c>
      <c r="C213" s="5" t="str">
        <f t="shared" si="25"/>
        <v>23</v>
      </c>
      <c r="D213" s="5" t="str">
        <f t="shared" si="26"/>
        <v>04</v>
      </c>
      <c r="E213" s="4" t="s">
        <v>30</v>
      </c>
      <c r="F213" s="4" t="s">
        <v>31</v>
      </c>
      <c r="G213" s="8" t="str">
        <f t="shared" si="27"/>
        <v>23/04/2021</v>
      </c>
      <c r="H213" s="4" t="s">
        <v>1</v>
      </c>
      <c r="I213" s="4" t="s">
        <v>0</v>
      </c>
      <c r="J213" s="7" t="s">
        <v>599</v>
      </c>
      <c r="K213" s="7" t="s">
        <v>172</v>
      </c>
      <c r="L213" s="9" t="str">
        <f>+VLOOKUP(K213,'[1]BASE DE PROVEEDORES'!$A:$B,2,0)</f>
        <v>MANEJO INTEGRAL DE DESECHOS SOLIDOS SEM DE C.V.</v>
      </c>
      <c r="M213" s="10">
        <v>0</v>
      </c>
      <c r="N213" s="7" t="s">
        <v>2</v>
      </c>
      <c r="O213" s="7" t="s">
        <v>2</v>
      </c>
      <c r="P213" s="10">
        <v>44.36</v>
      </c>
      <c r="Q213" s="29" t="s">
        <v>2</v>
      </c>
      <c r="R213" s="32" t="s">
        <v>2</v>
      </c>
      <c r="S213" s="32" t="s">
        <v>2</v>
      </c>
      <c r="T213" s="29">
        <v>5.77</v>
      </c>
      <c r="U213" s="29">
        <f t="shared" si="28"/>
        <v>50.129999999999995</v>
      </c>
      <c r="V213" s="4" t="s">
        <v>3</v>
      </c>
      <c r="X213" s="3">
        <f t="shared" si="24"/>
        <v>5.77</v>
      </c>
    </row>
    <row r="214" spans="1:24" hidden="1" x14ac:dyDescent="0.25">
      <c r="A214" s="7" t="s">
        <v>208</v>
      </c>
      <c r="B214" s="4" t="s">
        <v>511</v>
      </c>
      <c r="C214" s="5" t="str">
        <f t="shared" si="25"/>
        <v>24</v>
      </c>
      <c r="D214" s="5" t="str">
        <f t="shared" si="26"/>
        <v>04</v>
      </c>
      <c r="E214" s="4" t="s">
        <v>30</v>
      </c>
      <c r="F214" s="4" t="s">
        <v>31</v>
      </c>
      <c r="G214" s="8" t="str">
        <f t="shared" si="27"/>
        <v>24/04/2021</v>
      </c>
      <c r="H214" s="4" t="s">
        <v>1</v>
      </c>
      <c r="I214" s="4" t="s">
        <v>0</v>
      </c>
      <c r="J214" s="7" t="s">
        <v>512</v>
      </c>
      <c r="K214" s="7" t="s">
        <v>45</v>
      </c>
      <c r="L214" s="9" t="str">
        <f>+VLOOKUP(K214,'[1]BASE DE PROVEEDORES'!$A:$B,2,0)</f>
        <v>JOSE RICARDO ANTONIO MOLINA</v>
      </c>
      <c r="M214" s="10">
        <f>1.18+0.59</f>
        <v>1.77</v>
      </c>
      <c r="N214" s="7" t="s">
        <v>2</v>
      </c>
      <c r="O214" s="7" t="s">
        <v>2</v>
      </c>
      <c r="P214" s="10">
        <v>13.47</v>
      </c>
      <c r="Q214" s="29" t="s">
        <v>2</v>
      </c>
      <c r="R214" s="32" t="s">
        <v>2</v>
      </c>
      <c r="S214" s="32" t="s">
        <v>2</v>
      </c>
      <c r="T214" s="29">
        <v>1.75</v>
      </c>
      <c r="U214" s="29">
        <f t="shared" si="28"/>
        <v>16.990000000000002</v>
      </c>
      <c r="V214" s="4" t="s">
        <v>3</v>
      </c>
      <c r="X214" s="3">
        <f t="shared" si="24"/>
        <v>1.75</v>
      </c>
    </row>
    <row r="215" spans="1:24" hidden="1" x14ac:dyDescent="0.25">
      <c r="A215" s="7" t="s">
        <v>208</v>
      </c>
      <c r="B215" s="4" t="s">
        <v>511</v>
      </c>
      <c r="C215" s="5" t="str">
        <f t="shared" si="25"/>
        <v>24</v>
      </c>
      <c r="D215" s="5" t="str">
        <f t="shared" si="26"/>
        <v>04</v>
      </c>
      <c r="E215" s="4" t="s">
        <v>30</v>
      </c>
      <c r="F215" s="4" t="s">
        <v>31</v>
      </c>
      <c r="G215" s="8" t="str">
        <f t="shared" si="27"/>
        <v>24/04/2021</v>
      </c>
      <c r="H215" s="4" t="s">
        <v>1</v>
      </c>
      <c r="I215" s="4" t="s">
        <v>0</v>
      </c>
      <c r="J215" s="7" t="s">
        <v>521</v>
      </c>
      <c r="K215" s="7" t="s">
        <v>45</v>
      </c>
      <c r="L215" s="9" t="str">
        <f>+VLOOKUP(K215,'[1]BASE DE PROVEEDORES'!$A:$B,2,0)</f>
        <v>JOSE RICARDO ANTONIO MOLINA</v>
      </c>
      <c r="M215" s="10">
        <f>4.86+2.43</f>
        <v>7.2900000000000009</v>
      </c>
      <c r="N215" s="7" t="s">
        <v>2</v>
      </c>
      <c r="O215" s="7" t="s">
        <v>2</v>
      </c>
      <c r="P215" s="10">
        <v>55.27</v>
      </c>
      <c r="Q215" s="29" t="s">
        <v>2</v>
      </c>
      <c r="R215" s="32" t="s">
        <v>2</v>
      </c>
      <c r="S215" s="32" t="s">
        <v>2</v>
      </c>
      <c r="T215" s="29">
        <v>7.19</v>
      </c>
      <c r="U215" s="29">
        <f t="shared" si="28"/>
        <v>69.75</v>
      </c>
      <c r="V215" s="4" t="s">
        <v>3</v>
      </c>
      <c r="X215" s="3">
        <f t="shared" si="24"/>
        <v>7.19</v>
      </c>
    </row>
    <row r="216" spans="1:24" hidden="1" x14ac:dyDescent="0.25">
      <c r="A216" s="7" t="s">
        <v>208</v>
      </c>
      <c r="B216" s="4" t="s">
        <v>511</v>
      </c>
      <c r="C216" s="5" t="str">
        <f t="shared" si="25"/>
        <v>24</v>
      </c>
      <c r="D216" s="5" t="str">
        <f t="shared" si="26"/>
        <v>04</v>
      </c>
      <c r="E216" s="4" t="s">
        <v>30</v>
      </c>
      <c r="F216" s="4" t="s">
        <v>31</v>
      </c>
      <c r="G216" s="8" t="str">
        <f t="shared" si="27"/>
        <v>24/04/2021</v>
      </c>
      <c r="H216" s="4" t="s">
        <v>1</v>
      </c>
      <c r="I216" s="4" t="s">
        <v>0</v>
      </c>
      <c r="J216" s="7" t="s">
        <v>541</v>
      </c>
      <c r="K216" s="7" t="s">
        <v>28</v>
      </c>
      <c r="L216" s="9" t="str">
        <f>+VLOOKUP(K216,'[1]BASE DE PROVEEDORES'!$A:$B,2,0)</f>
        <v xml:space="preserve">ACTIVIDADES PETROLERAS DE EL SALVADOR S.A DE C.V </v>
      </c>
      <c r="M216" s="10">
        <f>5.62+2.81</f>
        <v>8.43</v>
      </c>
      <c r="N216" s="7" t="s">
        <v>2</v>
      </c>
      <c r="O216" s="7" t="s">
        <v>2</v>
      </c>
      <c r="P216" s="10">
        <v>63.84</v>
      </c>
      <c r="Q216" s="29" t="s">
        <v>2</v>
      </c>
      <c r="R216" s="32" t="s">
        <v>2</v>
      </c>
      <c r="S216" s="32" t="s">
        <v>2</v>
      </c>
      <c r="T216" s="29">
        <v>8.3000000000000007</v>
      </c>
      <c r="U216" s="29">
        <f t="shared" si="28"/>
        <v>80.570000000000007</v>
      </c>
      <c r="V216" s="4" t="s">
        <v>3</v>
      </c>
      <c r="X216" s="3">
        <f t="shared" si="24"/>
        <v>8.3000000000000007</v>
      </c>
    </row>
    <row r="217" spans="1:24" hidden="1" x14ac:dyDescent="0.25">
      <c r="A217" s="7" t="s">
        <v>208</v>
      </c>
      <c r="B217" s="4" t="s">
        <v>511</v>
      </c>
      <c r="C217" s="5" t="str">
        <f t="shared" si="25"/>
        <v>24</v>
      </c>
      <c r="D217" s="5" t="str">
        <f t="shared" si="26"/>
        <v>04</v>
      </c>
      <c r="E217" s="4" t="s">
        <v>30</v>
      </c>
      <c r="F217" s="4" t="s">
        <v>31</v>
      </c>
      <c r="G217" s="8" t="str">
        <f t="shared" si="27"/>
        <v>24/04/2021</v>
      </c>
      <c r="H217" s="4" t="s">
        <v>1</v>
      </c>
      <c r="I217" s="4" t="s">
        <v>0</v>
      </c>
      <c r="J217" s="7" t="s">
        <v>612</v>
      </c>
      <c r="K217" s="7" t="s">
        <v>172</v>
      </c>
      <c r="L217" s="9" t="str">
        <f>+VLOOKUP(K217,'[1]BASE DE PROVEEDORES'!$A:$B,2,0)</f>
        <v>MANEJO INTEGRAL DE DESECHOS SOLIDOS SEM DE C.V.</v>
      </c>
      <c r="M217" s="10">
        <v>0</v>
      </c>
      <c r="N217" s="7" t="s">
        <v>2</v>
      </c>
      <c r="O217" s="7" t="s">
        <v>2</v>
      </c>
      <c r="P217" s="10">
        <v>53.63</v>
      </c>
      <c r="Q217" s="29" t="s">
        <v>2</v>
      </c>
      <c r="R217" s="32" t="s">
        <v>2</v>
      </c>
      <c r="S217" s="32" t="s">
        <v>2</v>
      </c>
      <c r="T217" s="29">
        <v>6.97</v>
      </c>
      <c r="U217" s="29">
        <f t="shared" si="28"/>
        <v>60.6</v>
      </c>
      <c r="V217" s="4" t="s">
        <v>3</v>
      </c>
      <c r="X217" s="3">
        <f t="shared" si="24"/>
        <v>6.97</v>
      </c>
    </row>
    <row r="218" spans="1:24" hidden="1" x14ac:dyDescent="0.25">
      <c r="A218" s="7" t="s">
        <v>208</v>
      </c>
      <c r="B218" s="4" t="s">
        <v>511</v>
      </c>
      <c r="C218" s="5" t="str">
        <f t="shared" si="25"/>
        <v>24</v>
      </c>
      <c r="D218" s="5" t="str">
        <f t="shared" si="26"/>
        <v>04</v>
      </c>
      <c r="E218" s="4" t="s">
        <v>30</v>
      </c>
      <c r="F218" s="4" t="s">
        <v>31</v>
      </c>
      <c r="G218" s="8" t="str">
        <f t="shared" si="27"/>
        <v>24/04/2021</v>
      </c>
      <c r="H218" s="4" t="s">
        <v>1</v>
      </c>
      <c r="I218" s="4" t="s">
        <v>0</v>
      </c>
      <c r="J218" s="7" t="s">
        <v>625</v>
      </c>
      <c r="K218" s="7" t="s">
        <v>172</v>
      </c>
      <c r="L218" s="9" t="str">
        <f>+VLOOKUP(K218,'[1]BASE DE PROVEEDORES'!$A:$B,2,0)</f>
        <v>MANEJO INTEGRAL DE DESECHOS SOLIDOS SEM DE C.V.</v>
      </c>
      <c r="M218" s="10">
        <v>0</v>
      </c>
      <c r="N218" s="7" t="s">
        <v>2</v>
      </c>
      <c r="O218" s="7" t="s">
        <v>2</v>
      </c>
      <c r="P218" s="10">
        <v>56.26</v>
      </c>
      <c r="Q218" s="29" t="s">
        <v>2</v>
      </c>
      <c r="R218" s="32" t="s">
        <v>2</v>
      </c>
      <c r="S218" s="32" t="s">
        <v>2</v>
      </c>
      <c r="T218" s="29">
        <v>7.31</v>
      </c>
      <c r="U218" s="29">
        <f t="shared" si="28"/>
        <v>63.57</v>
      </c>
      <c r="V218" s="4" t="s">
        <v>3</v>
      </c>
      <c r="X218" s="3">
        <f t="shared" si="24"/>
        <v>7.31</v>
      </c>
    </row>
    <row r="219" spans="1:24" hidden="1" x14ac:dyDescent="0.25">
      <c r="A219" s="7" t="s">
        <v>208</v>
      </c>
      <c r="B219" s="4" t="s">
        <v>511</v>
      </c>
      <c r="C219" s="5" t="str">
        <f t="shared" si="25"/>
        <v>24</v>
      </c>
      <c r="D219" s="5" t="str">
        <f t="shared" si="26"/>
        <v>04</v>
      </c>
      <c r="E219" s="4" t="s">
        <v>30</v>
      </c>
      <c r="F219" s="4" t="s">
        <v>31</v>
      </c>
      <c r="G219" s="8" t="str">
        <f t="shared" si="27"/>
        <v>24/04/2021</v>
      </c>
      <c r="H219" s="4" t="s">
        <v>1</v>
      </c>
      <c r="I219" s="4" t="s">
        <v>0</v>
      </c>
      <c r="J219" s="7" t="s">
        <v>626</v>
      </c>
      <c r="K219" s="7" t="s">
        <v>172</v>
      </c>
      <c r="L219" s="9" t="str">
        <f>+VLOOKUP(K219,'[1]BASE DE PROVEEDORES'!$A:$B,2,0)</f>
        <v>MANEJO INTEGRAL DE DESECHOS SOLIDOS SEM DE C.V.</v>
      </c>
      <c r="M219" s="10">
        <v>0</v>
      </c>
      <c r="N219" s="7" t="s">
        <v>2</v>
      </c>
      <c r="O219" s="7" t="s">
        <v>2</v>
      </c>
      <c r="P219" s="10">
        <v>56.26</v>
      </c>
      <c r="Q219" s="29" t="s">
        <v>2</v>
      </c>
      <c r="R219" s="32" t="s">
        <v>2</v>
      </c>
      <c r="S219" s="32" t="s">
        <v>2</v>
      </c>
      <c r="T219" s="29">
        <v>7.31</v>
      </c>
      <c r="U219" s="29">
        <f t="shared" si="28"/>
        <v>63.57</v>
      </c>
      <c r="V219" s="4" t="s">
        <v>3</v>
      </c>
      <c r="X219" s="3">
        <f t="shared" si="24"/>
        <v>7.31</v>
      </c>
    </row>
    <row r="220" spans="1:24" hidden="1" x14ac:dyDescent="0.25">
      <c r="A220" s="7" t="s">
        <v>208</v>
      </c>
      <c r="B220" s="4" t="s">
        <v>511</v>
      </c>
      <c r="C220" s="5" t="str">
        <f t="shared" si="25"/>
        <v>24</v>
      </c>
      <c r="D220" s="5" t="str">
        <f t="shared" si="26"/>
        <v>04</v>
      </c>
      <c r="E220" s="4" t="s">
        <v>30</v>
      </c>
      <c r="F220" s="4" t="s">
        <v>31</v>
      </c>
      <c r="G220" s="8" t="str">
        <f t="shared" si="27"/>
        <v>24/04/2021</v>
      </c>
      <c r="H220" s="4" t="s">
        <v>1</v>
      </c>
      <c r="I220" s="4" t="s">
        <v>0</v>
      </c>
      <c r="J220" s="7" t="s">
        <v>629</v>
      </c>
      <c r="K220" s="7" t="s">
        <v>172</v>
      </c>
      <c r="L220" s="9" t="str">
        <f>+VLOOKUP(K220,'[1]BASE DE PROVEEDORES'!$A:$B,2,0)</f>
        <v>MANEJO INTEGRAL DE DESECHOS SOLIDOS SEM DE C.V.</v>
      </c>
      <c r="M220" s="10">
        <v>0</v>
      </c>
      <c r="N220" s="7" t="s">
        <v>2</v>
      </c>
      <c r="O220" s="7" t="s">
        <v>2</v>
      </c>
      <c r="P220" s="10">
        <v>28.08</v>
      </c>
      <c r="Q220" s="29" t="s">
        <v>2</v>
      </c>
      <c r="R220" s="32" t="s">
        <v>2</v>
      </c>
      <c r="S220" s="32" t="s">
        <v>2</v>
      </c>
      <c r="T220" s="29">
        <v>3.65</v>
      </c>
      <c r="U220" s="29">
        <f t="shared" si="28"/>
        <v>31.729999999999997</v>
      </c>
      <c r="V220" s="4" t="s">
        <v>3</v>
      </c>
      <c r="X220" s="3">
        <f t="shared" si="24"/>
        <v>3.65</v>
      </c>
    </row>
    <row r="221" spans="1:24" hidden="1" x14ac:dyDescent="0.25">
      <c r="A221" s="7" t="s">
        <v>208</v>
      </c>
      <c r="B221" s="4" t="s">
        <v>522</v>
      </c>
      <c r="C221" s="5" t="str">
        <f t="shared" si="25"/>
        <v>25</v>
      </c>
      <c r="D221" s="5" t="str">
        <f t="shared" si="26"/>
        <v>04</v>
      </c>
      <c r="E221" s="4" t="s">
        <v>30</v>
      </c>
      <c r="F221" s="4" t="s">
        <v>31</v>
      </c>
      <c r="G221" s="8" t="str">
        <f t="shared" si="27"/>
        <v>25/04/2021</v>
      </c>
      <c r="H221" s="4" t="s">
        <v>1</v>
      </c>
      <c r="I221" s="4" t="s">
        <v>0</v>
      </c>
      <c r="J221" s="7" t="s">
        <v>523</v>
      </c>
      <c r="K221" s="7" t="s">
        <v>45</v>
      </c>
      <c r="L221" s="9" t="str">
        <f>+VLOOKUP(K221,'[1]BASE DE PROVEEDORES'!$A:$B,2,0)</f>
        <v>JOSE RICARDO ANTONIO MOLINA</v>
      </c>
      <c r="M221" s="10">
        <f>7.1+3.55</f>
        <v>10.649999999999999</v>
      </c>
      <c r="N221" s="7" t="s">
        <v>2</v>
      </c>
      <c r="O221" s="7" t="s">
        <v>2</v>
      </c>
      <c r="P221" s="10">
        <v>80.7</v>
      </c>
      <c r="Q221" s="29" t="s">
        <v>2</v>
      </c>
      <c r="R221" s="32" t="s">
        <v>2</v>
      </c>
      <c r="S221" s="32" t="s">
        <v>2</v>
      </c>
      <c r="T221" s="29">
        <v>10.49</v>
      </c>
      <c r="U221" s="29">
        <f t="shared" si="28"/>
        <v>101.83999999999999</v>
      </c>
      <c r="V221" s="4" t="s">
        <v>3</v>
      </c>
      <c r="X221" s="3">
        <f t="shared" si="24"/>
        <v>10.49</v>
      </c>
    </row>
    <row r="222" spans="1:24" hidden="1" x14ac:dyDescent="0.25">
      <c r="A222" s="7" t="s">
        <v>208</v>
      </c>
      <c r="B222" s="4" t="s">
        <v>522</v>
      </c>
      <c r="C222" s="5" t="str">
        <f t="shared" si="25"/>
        <v>25</v>
      </c>
      <c r="D222" s="5" t="str">
        <f t="shared" si="26"/>
        <v>04</v>
      </c>
      <c r="E222" s="4" t="s">
        <v>30</v>
      </c>
      <c r="F222" s="4" t="s">
        <v>31</v>
      </c>
      <c r="G222" s="8" t="str">
        <f t="shared" si="27"/>
        <v>25/04/2021</v>
      </c>
      <c r="H222" s="4" t="s">
        <v>1</v>
      </c>
      <c r="I222" s="4" t="s">
        <v>0</v>
      </c>
      <c r="J222" s="7" t="s">
        <v>577</v>
      </c>
      <c r="K222" s="7" t="s">
        <v>356</v>
      </c>
      <c r="L222" s="9" t="str">
        <f>+VLOOKUP(K222,'[1]BASE DE PROVEEDORES'!$A:$B,2,0)</f>
        <v>RAMIREZ VENTURA S.A DE C.V.</v>
      </c>
      <c r="M222" s="10">
        <v>0.9</v>
      </c>
      <c r="N222" s="7" t="s">
        <v>2</v>
      </c>
      <c r="O222" s="7" t="s">
        <v>2</v>
      </c>
      <c r="P222" s="10">
        <v>8.0500000000000007</v>
      </c>
      <c r="Q222" s="29" t="s">
        <v>2</v>
      </c>
      <c r="R222" s="32" t="s">
        <v>2</v>
      </c>
      <c r="S222" s="32" t="s">
        <v>2</v>
      </c>
      <c r="T222" s="29">
        <v>1.05</v>
      </c>
      <c r="U222" s="29">
        <f t="shared" si="28"/>
        <v>10.000000000000002</v>
      </c>
      <c r="V222" s="4" t="s">
        <v>3</v>
      </c>
      <c r="X222" s="3">
        <f t="shared" si="24"/>
        <v>1.05</v>
      </c>
    </row>
    <row r="223" spans="1:24" hidden="1" x14ac:dyDescent="0.25">
      <c r="A223" s="7" t="s">
        <v>208</v>
      </c>
      <c r="B223" s="4" t="s">
        <v>539</v>
      </c>
      <c r="C223" s="5" t="str">
        <f t="shared" ref="C223:C243" si="29">+LEFT(B223,2)</f>
        <v>26</v>
      </c>
      <c r="D223" s="5" t="str">
        <f t="shared" ref="D223:D243" si="30">+RIGHT(B223,2)</f>
        <v>04</v>
      </c>
      <c r="E223" s="4" t="s">
        <v>30</v>
      </c>
      <c r="F223" s="4" t="s">
        <v>31</v>
      </c>
      <c r="G223" s="8" t="str">
        <f t="shared" ref="G223:G243" si="31">+C223&amp;F223&amp;D223&amp;F223&amp;E223</f>
        <v>26/04/2021</v>
      </c>
      <c r="H223" s="4" t="s">
        <v>1</v>
      </c>
      <c r="I223" s="4" t="s">
        <v>0</v>
      </c>
      <c r="J223" s="7" t="s">
        <v>540</v>
      </c>
      <c r="K223" s="7" t="s">
        <v>28</v>
      </c>
      <c r="L223" s="9" t="str">
        <f>+VLOOKUP(K223,'[1]BASE DE PROVEEDORES'!$A:$B,2,0)</f>
        <v xml:space="preserve">ACTIVIDADES PETROLERAS DE EL SALVADOR S.A DE C.V </v>
      </c>
      <c r="M223" s="10">
        <f>1.01+0.51</f>
        <v>1.52</v>
      </c>
      <c r="N223" s="7" t="s">
        <v>2</v>
      </c>
      <c r="O223" s="7" t="s">
        <v>2</v>
      </c>
      <c r="P223" s="10">
        <v>11.48</v>
      </c>
      <c r="Q223" s="29" t="s">
        <v>2</v>
      </c>
      <c r="R223" s="32" t="s">
        <v>2</v>
      </c>
      <c r="S223" s="32" t="s">
        <v>2</v>
      </c>
      <c r="T223" s="29">
        <v>1.49</v>
      </c>
      <c r="U223" s="29">
        <f t="shared" ref="U223:U243" si="32">+M223+P223+T223</f>
        <v>14.49</v>
      </c>
      <c r="V223" s="4" t="s">
        <v>3</v>
      </c>
      <c r="X223" s="3">
        <f t="shared" si="24"/>
        <v>1.49</v>
      </c>
    </row>
    <row r="224" spans="1:24" hidden="1" x14ac:dyDescent="0.25">
      <c r="A224" s="7" t="s">
        <v>208</v>
      </c>
      <c r="B224" s="4" t="s">
        <v>539</v>
      </c>
      <c r="C224" s="5" t="str">
        <f t="shared" si="29"/>
        <v>26</v>
      </c>
      <c r="D224" s="5" t="str">
        <f t="shared" si="30"/>
        <v>04</v>
      </c>
      <c r="E224" s="4" t="s">
        <v>30</v>
      </c>
      <c r="F224" s="4" t="s">
        <v>31</v>
      </c>
      <c r="G224" s="8" t="str">
        <f t="shared" si="31"/>
        <v>26/04/2021</v>
      </c>
      <c r="H224" s="4" t="s">
        <v>1</v>
      </c>
      <c r="I224" s="4" t="s">
        <v>0</v>
      </c>
      <c r="J224" s="7" t="s">
        <v>584</v>
      </c>
      <c r="K224" s="7" t="s">
        <v>24</v>
      </c>
      <c r="L224" s="9" t="str">
        <f>+VLOOKUP(K224,'[1]BASE DE PROVEEDORES'!$A:$B,2,0)</f>
        <v>ECSA OPERADORA EL SALVADOR S.A DE C.V.</v>
      </c>
      <c r="M224" s="10">
        <v>0</v>
      </c>
      <c r="N224" s="7" t="s">
        <v>2</v>
      </c>
      <c r="O224" s="7" t="s">
        <v>2</v>
      </c>
      <c r="P224" s="10">
        <v>24.3</v>
      </c>
      <c r="Q224" s="29" t="s">
        <v>2</v>
      </c>
      <c r="R224" s="32" t="s">
        <v>2</v>
      </c>
      <c r="S224" s="32" t="s">
        <v>2</v>
      </c>
      <c r="T224" s="29">
        <v>3.16</v>
      </c>
      <c r="U224" s="29">
        <f t="shared" si="32"/>
        <v>27.46</v>
      </c>
      <c r="V224" s="4" t="s">
        <v>3</v>
      </c>
      <c r="X224" s="3">
        <f t="shared" si="24"/>
        <v>3.16</v>
      </c>
    </row>
    <row r="225" spans="1:24" hidden="1" x14ac:dyDescent="0.25">
      <c r="A225" s="7" t="s">
        <v>208</v>
      </c>
      <c r="B225" s="4" t="s">
        <v>539</v>
      </c>
      <c r="C225" s="5" t="str">
        <f t="shared" si="29"/>
        <v>26</v>
      </c>
      <c r="D225" s="5" t="str">
        <f t="shared" si="30"/>
        <v>04</v>
      </c>
      <c r="E225" s="4" t="s">
        <v>30</v>
      </c>
      <c r="F225" s="4" t="s">
        <v>31</v>
      </c>
      <c r="G225" s="8" t="str">
        <f t="shared" si="31"/>
        <v>26/04/2021</v>
      </c>
      <c r="H225" s="4" t="s">
        <v>1</v>
      </c>
      <c r="I225" s="4" t="s">
        <v>0</v>
      </c>
      <c r="J225" s="7" t="s">
        <v>589</v>
      </c>
      <c r="K225" s="7" t="s">
        <v>590</v>
      </c>
      <c r="L225" s="9" t="str">
        <f>+VLOOKUP(K225,'[1]BASE DE PROVEEDORES'!$A:$B,2,0)</f>
        <v>REPUESTOS Y SERVICIOS AUTOMOTRICES, S.A DE C.V.</v>
      </c>
      <c r="M225" s="10">
        <v>0</v>
      </c>
      <c r="N225" s="7" t="s">
        <v>2</v>
      </c>
      <c r="O225" s="7" t="s">
        <v>2</v>
      </c>
      <c r="P225" s="10">
        <v>15.13</v>
      </c>
      <c r="Q225" s="29" t="s">
        <v>2</v>
      </c>
      <c r="R225" s="32" t="s">
        <v>2</v>
      </c>
      <c r="S225" s="32" t="s">
        <v>2</v>
      </c>
      <c r="T225" s="29">
        <v>1.97</v>
      </c>
      <c r="U225" s="29">
        <f t="shared" si="32"/>
        <v>17.100000000000001</v>
      </c>
      <c r="V225" s="4" t="s">
        <v>3</v>
      </c>
      <c r="X225" s="3">
        <f t="shared" si="24"/>
        <v>1.97</v>
      </c>
    </row>
    <row r="226" spans="1:24" hidden="1" x14ac:dyDescent="0.25">
      <c r="A226" s="7" t="s">
        <v>208</v>
      </c>
      <c r="B226" s="4" t="s">
        <v>539</v>
      </c>
      <c r="C226" s="5" t="str">
        <f t="shared" si="29"/>
        <v>26</v>
      </c>
      <c r="D226" s="5" t="str">
        <f t="shared" si="30"/>
        <v>04</v>
      </c>
      <c r="E226" s="4" t="s">
        <v>30</v>
      </c>
      <c r="F226" s="4" t="s">
        <v>31</v>
      </c>
      <c r="G226" s="8" t="str">
        <f t="shared" si="31"/>
        <v>26/04/2021</v>
      </c>
      <c r="H226" s="4" t="s">
        <v>1</v>
      </c>
      <c r="I226" s="4" t="s">
        <v>0</v>
      </c>
      <c r="J226" s="7" t="s">
        <v>631</v>
      </c>
      <c r="K226" s="7" t="s">
        <v>172</v>
      </c>
      <c r="L226" s="9" t="str">
        <f>+VLOOKUP(K226,'[1]BASE DE PROVEEDORES'!$A:$B,2,0)</f>
        <v>MANEJO INTEGRAL DE DESECHOS SOLIDOS SEM DE C.V.</v>
      </c>
      <c r="M226" s="10">
        <v>0</v>
      </c>
      <c r="N226" s="7" t="s">
        <v>2</v>
      </c>
      <c r="O226" s="7" t="s">
        <v>2</v>
      </c>
      <c r="P226" s="10">
        <v>28.08</v>
      </c>
      <c r="Q226" s="29" t="s">
        <v>2</v>
      </c>
      <c r="R226" s="32" t="s">
        <v>2</v>
      </c>
      <c r="S226" s="32" t="s">
        <v>2</v>
      </c>
      <c r="T226" s="29">
        <v>3.65</v>
      </c>
      <c r="U226" s="29">
        <f t="shared" si="32"/>
        <v>31.729999999999997</v>
      </c>
      <c r="V226" s="4" t="s">
        <v>3</v>
      </c>
      <c r="X226" s="3">
        <f t="shared" ref="X226:X243" si="33">+ROUND(T226,2)</f>
        <v>3.65</v>
      </c>
    </row>
    <row r="227" spans="1:24" hidden="1" x14ac:dyDescent="0.25">
      <c r="A227" s="7" t="s">
        <v>208</v>
      </c>
      <c r="B227" s="4" t="s">
        <v>524</v>
      </c>
      <c r="C227" s="5" t="str">
        <f t="shared" si="29"/>
        <v>27</v>
      </c>
      <c r="D227" s="5" t="str">
        <f t="shared" si="30"/>
        <v>04</v>
      </c>
      <c r="E227" s="4" t="s">
        <v>30</v>
      </c>
      <c r="F227" s="4" t="s">
        <v>31</v>
      </c>
      <c r="G227" s="8" t="str">
        <f t="shared" si="31"/>
        <v>27/04/2021</v>
      </c>
      <c r="H227" s="4" t="s">
        <v>1</v>
      </c>
      <c r="I227" s="4" t="s">
        <v>0</v>
      </c>
      <c r="J227" s="7" t="s">
        <v>525</v>
      </c>
      <c r="K227" s="7" t="s">
        <v>45</v>
      </c>
      <c r="L227" s="9" t="str">
        <f>+VLOOKUP(K227,'[1]BASE DE PROVEEDORES'!$A:$B,2,0)</f>
        <v>JOSE RICARDO ANTONIO MOLINA</v>
      </c>
      <c r="M227" s="10">
        <f>4.81+2.41</f>
        <v>7.22</v>
      </c>
      <c r="N227" s="7" t="s">
        <v>2</v>
      </c>
      <c r="O227" s="7" t="s">
        <v>2</v>
      </c>
      <c r="P227" s="10">
        <v>54.79</v>
      </c>
      <c r="Q227" s="29" t="s">
        <v>2</v>
      </c>
      <c r="R227" s="32" t="s">
        <v>2</v>
      </c>
      <c r="S227" s="32" t="s">
        <v>2</v>
      </c>
      <c r="T227" s="29">
        <v>7.12</v>
      </c>
      <c r="U227" s="29">
        <f t="shared" si="32"/>
        <v>69.13</v>
      </c>
      <c r="V227" s="4" t="s">
        <v>3</v>
      </c>
      <c r="X227" s="3">
        <f t="shared" si="33"/>
        <v>7.12</v>
      </c>
    </row>
    <row r="228" spans="1:24" hidden="1" x14ac:dyDescent="0.25">
      <c r="A228" s="7" t="s">
        <v>208</v>
      </c>
      <c r="B228" s="4" t="s">
        <v>524</v>
      </c>
      <c r="C228" s="5" t="str">
        <f t="shared" si="29"/>
        <v>27</v>
      </c>
      <c r="D228" s="5" t="str">
        <f t="shared" si="30"/>
        <v>04</v>
      </c>
      <c r="E228" s="4" t="s">
        <v>30</v>
      </c>
      <c r="F228" s="4" t="s">
        <v>31</v>
      </c>
      <c r="G228" s="8" t="str">
        <f t="shared" si="31"/>
        <v>27/04/2021</v>
      </c>
      <c r="H228" s="4" t="s">
        <v>1</v>
      </c>
      <c r="I228" s="4" t="s">
        <v>0</v>
      </c>
      <c r="J228" s="7" t="s">
        <v>526</v>
      </c>
      <c r="K228" s="7" t="s">
        <v>45</v>
      </c>
      <c r="L228" s="9" t="str">
        <f>+VLOOKUP(K228,'[1]BASE DE PROVEEDORES'!$A:$B,2,0)</f>
        <v>JOSE RICARDO ANTONIO MOLINA</v>
      </c>
      <c r="M228" s="10">
        <f>1.6+0.8</f>
        <v>2.4000000000000004</v>
      </c>
      <c r="N228" s="7" t="s">
        <v>2</v>
      </c>
      <c r="O228" s="7" t="s">
        <v>2</v>
      </c>
      <c r="P228" s="10">
        <v>18.23</v>
      </c>
      <c r="Q228" s="29" t="s">
        <v>2</v>
      </c>
      <c r="R228" s="32" t="s">
        <v>2</v>
      </c>
      <c r="S228" s="32" t="s">
        <v>2</v>
      </c>
      <c r="T228" s="29">
        <v>2.37</v>
      </c>
      <c r="U228" s="29">
        <f t="shared" si="32"/>
        <v>23.000000000000004</v>
      </c>
      <c r="V228" s="4" t="s">
        <v>3</v>
      </c>
      <c r="X228" s="3">
        <f t="shared" si="33"/>
        <v>2.37</v>
      </c>
    </row>
    <row r="229" spans="1:24" hidden="1" x14ac:dyDescent="0.25">
      <c r="A229" s="7" t="s">
        <v>208</v>
      </c>
      <c r="B229" s="4" t="s">
        <v>524</v>
      </c>
      <c r="C229" s="5" t="str">
        <f t="shared" si="29"/>
        <v>27</v>
      </c>
      <c r="D229" s="5" t="str">
        <f t="shared" si="30"/>
        <v>04</v>
      </c>
      <c r="E229" s="4" t="s">
        <v>30</v>
      </c>
      <c r="F229" s="4" t="s">
        <v>31</v>
      </c>
      <c r="G229" s="8" t="str">
        <f t="shared" si="31"/>
        <v>27/04/2021</v>
      </c>
      <c r="H229" s="4" t="s">
        <v>1</v>
      </c>
      <c r="I229" s="4" t="s">
        <v>0</v>
      </c>
      <c r="J229" s="7" t="s">
        <v>527</v>
      </c>
      <c r="K229" s="7" t="s">
        <v>45</v>
      </c>
      <c r="L229" s="9" t="str">
        <f>+VLOOKUP(K229,'[1]BASE DE PROVEEDORES'!$A:$B,2,0)</f>
        <v>JOSE RICARDO ANTONIO MOLINA</v>
      </c>
      <c r="M229" s="10">
        <f>3.69+1.85</f>
        <v>5.54</v>
      </c>
      <c r="N229" s="7" t="s">
        <v>2</v>
      </c>
      <c r="O229" s="7" t="s">
        <v>2</v>
      </c>
      <c r="P229" s="10">
        <v>42</v>
      </c>
      <c r="Q229" s="29" t="s">
        <v>2</v>
      </c>
      <c r="R229" s="32" t="s">
        <v>2</v>
      </c>
      <c r="S229" s="32" t="s">
        <v>2</v>
      </c>
      <c r="T229" s="29">
        <v>5.46</v>
      </c>
      <c r="U229" s="29">
        <f t="shared" si="32"/>
        <v>53</v>
      </c>
      <c r="V229" s="4" t="s">
        <v>3</v>
      </c>
      <c r="X229" s="3">
        <f t="shared" si="33"/>
        <v>5.46</v>
      </c>
    </row>
    <row r="230" spans="1:24" hidden="1" x14ac:dyDescent="0.25">
      <c r="A230" s="7" t="s">
        <v>208</v>
      </c>
      <c r="B230" s="4" t="s">
        <v>524</v>
      </c>
      <c r="C230" s="5" t="str">
        <f t="shared" si="29"/>
        <v>27</v>
      </c>
      <c r="D230" s="5" t="str">
        <f t="shared" si="30"/>
        <v>04</v>
      </c>
      <c r="E230" s="4" t="s">
        <v>30</v>
      </c>
      <c r="F230" s="4" t="s">
        <v>31</v>
      </c>
      <c r="G230" s="8" t="str">
        <f t="shared" si="31"/>
        <v>27/04/2021</v>
      </c>
      <c r="H230" s="4" t="s">
        <v>1</v>
      </c>
      <c r="I230" s="4" t="s">
        <v>0</v>
      </c>
      <c r="J230" s="7" t="s">
        <v>538</v>
      </c>
      <c r="K230" s="7" t="s">
        <v>28</v>
      </c>
      <c r="L230" s="9" t="str">
        <f>+VLOOKUP(K230,'[1]BASE DE PROVEEDORES'!$A:$B,2,0)</f>
        <v xml:space="preserve">ACTIVIDADES PETROLERAS DE EL SALVADOR S.A DE C.V </v>
      </c>
      <c r="M230" s="10">
        <f>3.67+1.84</f>
        <v>5.51</v>
      </c>
      <c r="N230" s="7" t="s">
        <v>2</v>
      </c>
      <c r="O230" s="7" t="s">
        <v>2</v>
      </c>
      <c r="P230" s="10">
        <v>41.78</v>
      </c>
      <c r="Q230" s="29" t="s">
        <v>2</v>
      </c>
      <c r="R230" s="32" t="s">
        <v>2</v>
      </c>
      <c r="S230" s="32" t="s">
        <v>2</v>
      </c>
      <c r="T230" s="29">
        <v>5.43</v>
      </c>
      <c r="U230" s="29">
        <f t="shared" si="32"/>
        <v>52.72</v>
      </c>
      <c r="V230" s="4" t="s">
        <v>3</v>
      </c>
      <c r="X230" s="3">
        <f t="shared" si="33"/>
        <v>5.43</v>
      </c>
    </row>
    <row r="231" spans="1:24" hidden="1" x14ac:dyDescent="0.25">
      <c r="A231" s="7" t="s">
        <v>208</v>
      </c>
      <c r="B231" s="4" t="s">
        <v>524</v>
      </c>
      <c r="C231" s="5" t="str">
        <f t="shared" si="29"/>
        <v>27</v>
      </c>
      <c r="D231" s="5" t="str">
        <f t="shared" si="30"/>
        <v>04</v>
      </c>
      <c r="E231" s="4" t="s">
        <v>30</v>
      </c>
      <c r="F231" s="4" t="s">
        <v>31</v>
      </c>
      <c r="G231" s="8" t="str">
        <f t="shared" si="31"/>
        <v>27/04/2021</v>
      </c>
      <c r="H231" s="4" t="s">
        <v>1</v>
      </c>
      <c r="I231" s="4" t="s">
        <v>0</v>
      </c>
      <c r="J231" s="7" t="s">
        <v>588</v>
      </c>
      <c r="K231" s="7" t="s">
        <v>132</v>
      </c>
      <c r="L231" s="9" t="str">
        <f>+VLOOKUP(K231,'[1]BASE DE PROVEEDORES'!$A:$B,2,0)</f>
        <v>ALEXANDER ANTONIO CORNEJO</v>
      </c>
      <c r="M231" s="10">
        <v>0</v>
      </c>
      <c r="N231" s="7" t="s">
        <v>2</v>
      </c>
      <c r="O231" s="7" t="s">
        <v>2</v>
      </c>
      <c r="P231" s="10">
        <v>331.86</v>
      </c>
      <c r="Q231" s="29" t="s">
        <v>2</v>
      </c>
      <c r="R231" s="32" t="s">
        <v>2</v>
      </c>
      <c r="S231" s="32" t="s">
        <v>2</v>
      </c>
      <c r="T231" s="29">
        <v>43.14</v>
      </c>
      <c r="U231" s="29">
        <f t="shared" si="32"/>
        <v>375</v>
      </c>
      <c r="V231" s="4" t="s">
        <v>3</v>
      </c>
      <c r="X231" s="3">
        <f t="shared" si="33"/>
        <v>43.14</v>
      </c>
    </row>
    <row r="232" spans="1:24" hidden="1" x14ac:dyDescent="0.25">
      <c r="A232" s="7" t="s">
        <v>208</v>
      </c>
      <c r="B232" s="4" t="s">
        <v>524</v>
      </c>
      <c r="C232" s="5" t="str">
        <f t="shared" si="29"/>
        <v>27</v>
      </c>
      <c r="D232" s="5" t="str">
        <f t="shared" si="30"/>
        <v>04</v>
      </c>
      <c r="E232" s="4" t="s">
        <v>30</v>
      </c>
      <c r="F232" s="4" t="s">
        <v>31</v>
      </c>
      <c r="G232" s="8" t="str">
        <f t="shared" si="31"/>
        <v>27/04/2021</v>
      </c>
      <c r="H232" s="4" t="s">
        <v>1</v>
      </c>
      <c r="I232" s="4" t="s">
        <v>0</v>
      </c>
      <c r="J232" s="7" t="s">
        <v>601</v>
      </c>
      <c r="K232" s="7" t="s">
        <v>172</v>
      </c>
      <c r="L232" s="9" t="str">
        <f>+VLOOKUP(K232,'[1]BASE DE PROVEEDORES'!$A:$B,2,0)</f>
        <v>MANEJO INTEGRAL DE DESECHOS SOLIDOS SEM DE C.V.</v>
      </c>
      <c r="M232" s="10">
        <v>0</v>
      </c>
      <c r="N232" s="7" t="s">
        <v>2</v>
      </c>
      <c r="O232" s="7" t="s">
        <v>2</v>
      </c>
      <c r="P232" s="10">
        <v>53.35</v>
      </c>
      <c r="Q232" s="29" t="s">
        <v>2</v>
      </c>
      <c r="R232" s="32" t="s">
        <v>2</v>
      </c>
      <c r="S232" s="32" t="s">
        <v>2</v>
      </c>
      <c r="T232" s="29">
        <v>6.94</v>
      </c>
      <c r="U232" s="29">
        <f t="shared" si="32"/>
        <v>60.29</v>
      </c>
      <c r="V232" s="4" t="s">
        <v>3</v>
      </c>
      <c r="X232" s="3">
        <f t="shared" si="33"/>
        <v>6.94</v>
      </c>
    </row>
    <row r="233" spans="1:24" hidden="1" x14ac:dyDescent="0.25">
      <c r="A233" s="7" t="s">
        <v>208</v>
      </c>
      <c r="B233" s="4" t="s">
        <v>524</v>
      </c>
      <c r="C233" s="5" t="str">
        <f t="shared" si="29"/>
        <v>27</v>
      </c>
      <c r="D233" s="5" t="str">
        <f t="shared" si="30"/>
        <v>04</v>
      </c>
      <c r="E233" s="4" t="s">
        <v>30</v>
      </c>
      <c r="F233" s="4" t="s">
        <v>31</v>
      </c>
      <c r="G233" s="8" t="str">
        <f t="shared" si="31"/>
        <v>27/04/2021</v>
      </c>
      <c r="H233" s="4" t="s">
        <v>1</v>
      </c>
      <c r="I233" s="4" t="s">
        <v>0</v>
      </c>
      <c r="J233" s="7" t="s">
        <v>618</v>
      </c>
      <c r="K233" s="7" t="s">
        <v>172</v>
      </c>
      <c r="L233" s="9" t="str">
        <f>+VLOOKUP(K233,'[1]BASE DE PROVEEDORES'!$A:$B,2,0)</f>
        <v>MANEJO INTEGRAL DE DESECHOS SOLIDOS SEM DE C.V.</v>
      </c>
      <c r="M233" s="10">
        <v>0</v>
      </c>
      <c r="N233" s="7" t="s">
        <v>2</v>
      </c>
      <c r="O233" s="7" t="s">
        <v>2</v>
      </c>
      <c r="P233" s="10">
        <v>56.26</v>
      </c>
      <c r="Q233" s="29" t="s">
        <v>2</v>
      </c>
      <c r="R233" s="32" t="s">
        <v>2</v>
      </c>
      <c r="S233" s="32" t="s">
        <v>2</v>
      </c>
      <c r="T233" s="29">
        <v>7.31</v>
      </c>
      <c r="U233" s="29">
        <f t="shared" si="32"/>
        <v>63.57</v>
      </c>
      <c r="V233" s="4" t="s">
        <v>3</v>
      </c>
      <c r="X233" s="3">
        <f t="shared" si="33"/>
        <v>7.31</v>
      </c>
    </row>
    <row r="234" spans="1:24" hidden="1" x14ac:dyDescent="0.25">
      <c r="A234" s="7" t="s">
        <v>208</v>
      </c>
      <c r="B234" s="4" t="s">
        <v>524</v>
      </c>
      <c r="C234" s="5" t="str">
        <f t="shared" si="29"/>
        <v>27</v>
      </c>
      <c r="D234" s="5" t="str">
        <f t="shared" si="30"/>
        <v>04</v>
      </c>
      <c r="E234" s="4" t="s">
        <v>30</v>
      </c>
      <c r="F234" s="4" t="s">
        <v>31</v>
      </c>
      <c r="G234" s="8" t="str">
        <f t="shared" si="31"/>
        <v>27/04/2021</v>
      </c>
      <c r="H234" s="4" t="s">
        <v>1</v>
      </c>
      <c r="I234" s="4" t="s">
        <v>0</v>
      </c>
      <c r="J234" s="7" t="s">
        <v>501</v>
      </c>
      <c r="K234" s="7" t="s">
        <v>172</v>
      </c>
      <c r="L234" s="9" t="str">
        <f>+VLOOKUP(K234,'[1]BASE DE PROVEEDORES'!$A:$B,2,0)</f>
        <v>MANEJO INTEGRAL DE DESECHOS SOLIDOS SEM DE C.V.</v>
      </c>
      <c r="M234" s="10">
        <v>0</v>
      </c>
      <c r="N234" s="7" t="s">
        <v>2</v>
      </c>
      <c r="O234" s="7" t="s">
        <v>2</v>
      </c>
      <c r="P234" s="10">
        <v>28.08</v>
      </c>
      <c r="Q234" s="29" t="s">
        <v>2</v>
      </c>
      <c r="R234" s="32" t="s">
        <v>2</v>
      </c>
      <c r="S234" s="32" t="s">
        <v>2</v>
      </c>
      <c r="T234" s="29">
        <v>3.65</v>
      </c>
      <c r="U234" s="29">
        <f t="shared" si="32"/>
        <v>31.729999999999997</v>
      </c>
      <c r="V234" s="4" t="s">
        <v>3</v>
      </c>
      <c r="X234" s="3">
        <f t="shared" si="33"/>
        <v>3.65</v>
      </c>
    </row>
    <row r="235" spans="1:24" hidden="1" x14ac:dyDescent="0.25">
      <c r="A235" s="7" t="s">
        <v>208</v>
      </c>
      <c r="B235" s="4" t="s">
        <v>536</v>
      </c>
      <c r="C235" s="5" t="str">
        <f t="shared" si="29"/>
        <v>28</v>
      </c>
      <c r="D235" s="5" t="str">
        <f t="shared" si="30"/>
        <v>04</v>
      </c>
      <c r="E235" s="4" t="s">
        <v>30</v>
      </c>
      <c r="F235" s="4" t="s">
        <v>31</v>
      </c>
      <c r="G235" s="8" t="str">
        <f t="shared" si="31"/>
        <v>28/04/2021</v>
      </c>
      <c r="H235" s="4" t="s">
        <v>1</v>
      </c>
      <c r="I235" s="4" t="s">
        <v>0</v>
      </c>
      <c r="J235" s="7" t="s">
        <v>537</v>
      </c>
      <c r="K235" s="7" t="s">
        <v>28</v>
      </c>
      <c r="L235" s="9" t="str">
        <f>+VLOOKUP(K235,'[1]BASE DE PROVEEDORES'!$A:$B,2,0)</f>
        <v xml:space="preserve">ACTIVIDADES PETROLERAS DE EL SALVADOR S.A DE C.V </v>
      </c>
      <c r="M235" s="10">
        <f>2.06+1.03</f>
        <v>3.09</v>
      </c>
      <c r="N235" s="7" t="s">
        <v>2</v>
      </c>
      <c r="O235" s="7" t="s">
        <v>2</v>
      </c>
      <c r="P235" s="10">
        <v>23.39</v>
      </c>
      <c r="Q235" s="29" t="s">
        <v>2</v>
      </c>
      <c r="R235" s="32" t="s">
        <v>2</v>
      </c>
      <c r="S235" s="32" t="s">
        <v>2</v>
      </c>
      <c r="T235" s="29">
        <v>3.04</v>
      </c>
      <c r="U235" s="29">
        <f t="shared" si="32"/>
        <v>29.52</v>
      </c>
      <c r="V235" s="4" t="s">
        <v>3</v>
      </c>
      <c r="X235" s="3">
        <f t="shared" si="33"/>
        <v>3.04</v>
      </c>
    </row>
    <row r="236" spans="1:24" hidden="1" x14ac:dyDescent="0.25">
      <c r="A236" s="7" t="s">
        <v>208</v>
      </c>
      <c r="B236" s="4" t="s">
        <v>536</v>
      </c>
      <c r="C236" s="5" t="str">
        <f t="shared" si="29"/>
        <v>28</v>
      </c>
      <c r="D236" s="5" t="str">
        <f t="shared" si="30"/>
        <v>04</v>
      </c>
      <c r="E236" s="4" t="s">
        <v>30</v>
      </c>
      <c r="F236" s="4" t="s">
        <v>31</v>
      </c>
      <c r="G236" s="8" t="str">
        <f t="shared" si="31"/>
        <v>28/04/2021</v>
      </c>
      <c r="H236" s="4" t="s">
        <v>1</v>
      </c>
      <c r="I236" s="4" t="s">
        <v>0</v>
      </c>
      <c r="J236" s="7" t="s">
        <v>613</v>
      </c>
      <c r="K236" s="7" t="s">
        <v>172</v>
      </c>
      <c r="L236" s="9" t="str">
        <f>+VLOOKUP(K236,'[1]BASE DE PROVEEDORES'!$A:$B,2,0)</f>
        <v>MANEJO INTEGRAL DE DESECHOS SOLIDOS SEM DE C.V.</v>
      </c>
      <c r="M236" s="10">
        <v>0</v>
      </c>
      <c r="N236" s="7" t="s">
        <v>2</v>
      </c>
      <c r="O236" s="7" t="s">
        <v>2</v>
      </c>
      <c r="P236" s="10">
        <v>63.46</v>
      </c>
      <c r="Q236" s="29" t="s">
        <v>2</v>
      </c>
      <c r="R236" s="32" t="s">
        <v>2</v>
      </c>
      <c r="S236" s="32" t="s">
        <v>2</v>
      </c>
      <c r="T236" s="29">
        <v>8.25</v>
      </c>
      <c r="U236" s="29">
        <f t="shared" si="32"/>
        <v>71.710000000000008</v>
      </c>
      <c r="V236" s="4" t="s">
        <v>3</v>
      </c>
      <c r="X236" s="3">
        <f t="shared" si="33"/>
        <v>8.25</v>
      </c>
    </row>
    <row r="237" spans="1:24" hidden="1" x14ac:dyDescent="0.25">
      <c r="A237" s="7" t="s">
        <v>208</v>
      </c>
      <c r="B237" s="4" t="s">
        <v>536</v>
      </c>
      <c r="C237" s="5" t="str">
        <f t="shared" si="29"/>
        <v>28</v>
      </c>
      <c r="D237" s="5" t="str">
        <f t="shared" si="30"/>
        <v>04</v>
      </c>
      <c r="E237" s="4" t="s">
        <v>30</v>
      </c>
      <c r="F237" s="4" t="s">
        <v>31</v>
      </c>
      <c r="G237" s="8" t="str">
        <f t="shared" si="31"/>
        <v>28/04/2021</v>
      </c>
      <c r="H237" s="4" t="s">
        <v>1</v>
      </c>
      <c r="I237" s="4" t="s">
        <v>0</v>
      </c>
      <c r="J237" s="7" t="s">
        <v>614</v>
      </c>
      <c r="K237" s="7" t="s">
        <v>172</v>
      </c>
      <c r="L237" s="9" t="str">
        <f>+VLOOKUP(K237,'[1]BASE DE PROVEEDORES'!$A:$B,2,0)</f>
        <v>MANEJO INTEGRAL DE DESECHOS SOLIDOS SEM DE C.V.</v>
      </c>
      <c r="M237" s="10">
        <v>0</v>
      </c>
      <c r="N237" s="7" t="s">
        <v>2</v>
      </c>
      <c r="O237" s="7" t="s">
        <v>2</v>
      </c>
      <c r="P237" s="10">
        <v>50.26</v>
      </c>
      <c r="Q237" s="29" t="s">
        <v>2</v>
      </c>
      <c r="R237" s="32" t="s">
        <v>2</v>
      </c>
      <c r="S237" s="32" t="s">
        <v>2</v>
      </c>
      <c r="T237" s="29">
        <v>6.53</v>
      </c>
      <c r="U237" s="29">
        <f t="shared" si="32"/>
        <v>56.79</v>
      </c>
      <c r="V237" s="4" t="s">
        <v>3</v>
      </c>
      <c r="X237" s="3">
        <f t="shared" si="33"/>
        <v>6.53</v>
      </c>
    </row>
    <row r="238" spans="1:24" hidden="1" x14ac:dyDescent="0.25">
      <c r="A238" s="7" t="s">
        <v>208</v>
      </c>
      <c r="B238" s="4" t="s">
        <v>528</v>
      </c>
      <c r="C238" s="5" t="str">
        <f t="shared" si="29"/>
        <v>29</v>
      </c>
      <c r="D238" s="5" t="str">
        <f t="shared" si="30"/>
        <v>04</v>
      </c>
      <c r="E238" s="4" t="s">
        <v>30</v>
      </c>
      <c r="F238" s="4" t="s">
        <v>31</v>
      </c>
      <c r="G238" s="8" t="str">
        <f t="shared" si="31"/>
        <v>29/04/2021</v>
      </c>
      <c r="H238" s="4" t="s">
        <v>1</v>
      </c>
      <c r="I238" s="4" t="s">
        <v>0</v>
      </c>
      <c r="J238" s="7" t="s">
        <v>529</v>
      </c>
      <c r="K238" s="7" t="s">
        <v>45</v>
      </c>
      <c r="L238" s="9" t="str">
        <f>+VLOOKUP(K238,'[1]BASE DE PROVEEDORES'!$A:$B,2,0)</f>
        <v>JOSE RICARDO ANTONIO MOLINA</v>
      </c>
      <c r="M238" s="10">
        <f>5.23+2.61</f>
        <v>7.84</v>
      </c>
      <c r="N238" s="7" t="s">
        <v>2</v>
      </c>
      <c r="O238" s="7" t="s">
        <v>2</v>
      </c>
      <c r="P238" s="10">
        <v>59.43</v>
      </c>
      <c r="Q238" s="29" t="s">
        <v>2</v>
      </c>
      <c r="R238" s="32" t="s">
        <v>2</v>
      </c>
      <c r="S238" s="32" t="s">
        <v>2</v>
      </c>
      <c r="T238" s="29">
        <v>7.73</v>
      </c>
      <c r="U238" s="29">
        <f t="shared" si="32"/>
        <v>75</v>
      </c>
      <c r="V238" s="4" t="s">
        <v>3</v>
      </c>
      <c r="X238" s="3">
        <f t="shared" si="33"/>
        <v>7.73</v>
      </c>
    </row>
    <row r="239" spans="1:24" hidden="1" x14ac:dyDescent="0.25">
      <c r="A239" s="7" t="s">
        <v>208</v>
      </c>
      <c r="B239" s="4" t="s">
        <v>530</v>
      </c>
      <c r="C239" s="5" t="str">
        <f t="shared" si="29"/>
        <v>30</v>
      </c>
      <c r="D239" s="5" t="str">
        <f t="shared" si="30"/>
        <v>04</v>
      </c>
      <c r="E239" s="4" t="s">
        <v>30</v>
      </c>
      <c r="F239" s="4" t="s">
        <v>31</v>
      </c>
      <c r="G239" s="8" t="str">
        <f t="shared" si="31"/>
        <v>30/04/2021</v>
      </c>
      <c r="H239" s="4" t="s">
        <v>1</v>
      </c>
      <c r="I239" s="4" t="s">
        <v>0</v>
      </c>
      <c r="J239" s="7" t="s">
        <v>531</v>
      </c>
      <c r="K239" s="7" t="s">
        <v>45</v>
      </c>
      <c r="L239" s="9" t="str">
        <f>+VLOOKUP(K239,'[1]BASE DE PROVEEDORES'!$A:$B,2,0)</f>
        <v>JOSE RICARDO ANTONIO MOLINA</v>
      </c>
      <c r="M239" s="10">
        <f>5.36+2.68</f>
        <v>8.0400000000000009</v>
      </c>
      <c r="N239" s="7" t="s">
        <v>2</v>
      </c>
      <c r="O239" s="7" t="s">
        <v>2</v>
      </c>
      <c r="P239" s="10">
        <v>60.95</v>
      </c>
      <c r="Q239" s="29" t="s">
        <v>2</v>
      </c>
      <c r="R239" s="32" t="s">
        <v>2</v>
      </c>
      <c r="S239" s="32" t="s">
        <v>2</v>
      </c>
      <c r="T239" s="29">
        <v>7.92</v>
      </c>
      <c r="U239" s="29">
        <f t="shared" si="32"/>
        <v>76.910000000000011</v>
      </c>
      <c r="V239" s="4" t="s">
        <v>3</v>
      </c>
      <c r="X239" s="3">
        <f t="shared" si="33"/>
        <v>7.92</v>
      </c>
    </row>
    <row r="240" spans="1:24" hidden="1" x14ac:dyDescent="0.25">
      <c r="A240" s="7" t="s">
        <v>208</v>
      </c>
      <c r="B240" s="4" t="s">
        <v>530</v>
      </c>
      <c r="C240" s="5" t="str">
        <f t="shared" si="29"/>
        <v>30</v>
      </c>
      <c r="D240" s="5" t="str">
        <f t="shared" si="30"/>
        <v>04</v>
      </c>
      <c r="E240" s="4" t="s">
        <v>30</v>
      </c>
      <c r="F240" s="4" t="s">
        <v>31</v>
      </c>
      <c r="G240" s="8" t="str">
        <f t="shared" si="31"/>
        <v>30/04/2021</v>
      </c>
      <c r="H240" s="4" t="s">
        <v>1</v>
      </c>
      <c r="I240" s="4" t="s">
        <v>0</v>
      </c>
      <c r="J240" s="7" t="s">
        <v>535</v>
      </c>
      <c r="K240" s="7" t="s">
        <v>28</v>
      </c>
      <c r="L240" s="9" t="str">
        <f>+VLOOKUP(K240,'[1]BASE DE PROVEEDORES'!$A:$B,2,0)</f>
        <v xml:space="preserve">ACTIVIDADES PETROLERAS DE EL SALVADOR S.A DE C.V </v>
      </c>
      <c r="M240" s="10">
        <v>1.92</v>
      </c>
      <c r="N240" s="7" t="s">
        <v>2</v>
      </c>
      <c r="O240" s="7" t="s">
        <v>2</v>
      </c>
      <c r="P240" s="10">
        <v>14.54</v>
      </c>
      <c r="Q240" s="29" t="s">
        <v>2</v>
      </c>
      <c r="R240" s="32" t="s">
        <v>2</v>
      </c>
      <c r="S240" s="32" t="s">
        <v>2</v>
      </c>
      <c r="T240" s="29">
        <v>1.89</v>
      </c>
      <c r="U240" s="29">
        <f t="shared" si="32"/>
        <v>18.350000000000001</v>
      </c>
      <c r="V240" s="4" t="s">
        <v>3</v>
      </c>
      <c r="X240" s="3">
        <f t="shared" si="33"/>
        <v>1.89</v>
      </c>
    </row>
    <row r="241" spans="1:24" hidden="1" x14ac:dyDescent="0.25">
      <c r="A241" s="7" t="s">
        <v>208</v>
      </c>
      <c r="B241" s="4" t="s">
        <v>530</v>
      </c>
      <c r="C241" s="5" t="str">
        <f t="shared" si="29"/>
        <v>30</v>
      </c>
      <c r="D241" s="5" t="str">
        <f t="shared" si="30"/>
        <v>04</v>
      </c>
      <c r="E241" s="4" t="s">
        <v>30</v>
      </c>
      <c r="F241" s="4" t="s">
        <v>31</v>
      </c>
      <c r="G241" s="8" t="str">
        <f t="shared" si="31"/>
        <v>30/04/2021</v>
      </c>
      <c r="H241" s="4" t="s">
        <v>1</v>
      </c>
      <c r="I241" s="4" t="s">
        <v>0</v>
      </c>
      <c r="J241" s="7" t="s">
        <v>600</v>
      </c>
      <c r="K241" s="7" t="s">
        <v>172</v>
      </c>
      <c r="L241" s="9" t="str">
        <f>+VLOOKUP(K241,'[1]BASE DE PROVEEDORES'!$A:$B,2,0)</f>
        <v>MANEJO INTEGRAL DE DESECHOS SOLIDOS SEM DE C.V.</v>
      </c>
      <c r="M241" s="10">
        <v>0</v>
      </c>
      <c r="N241" s="7" t="s">
        <v>2</v>
      </c>
      <c r="O241" s="7" t="s">
        <v>2</v>
      </c>
      <c r="P241" s="10">
        <v>54.19</v>
      </c>
      <c r="Q241" s="29" t="s">
        <v>2</v>
      </c>
      <c r="R241" s="32" t="s">
        <v>2</v>
      </c>
      <c r="S241" s="32" t="s">
        <v>2</v>
      </c>
      <c r="T241" s="29">
        <v>7.04</v>
      </c>
      <c r="U241" s="29">
        <f t="shared" si="32"/>
        <v>61.23</v>
      </c>
      <c r="V241" s="4" t="s">
        <v>3</v>
      </c>
      <c r="X241" s="3">
        <f t="shared" si="33"/>
        <v>7.04</v>
      </c>
    </row>
    <row r="242" spans="1:24" hidden="1" x14ac:dyDescent="0.25">
      <c r="A242" s="7" t="s">
        <v>208</v>
      </c>
      <c r="B242" s="4" t="s">
        <v>530</v>
      </c>
      <c r="C242" s="5" t="str">
        <f t="shared" si="29"/>
        <v>30</v>
      </c>
      <c r="D242" s="5" t="str">
        <f t="shared" si="30"/>
        <v>04</v>
      </c>
      <c r="E242" s="4" t="s">
        <v>30</v>
      </c>
      <c r="F242" s="4" t="s">
        <v>31</v>
      </c>
      <c r="G242" s="8" t="str">
        <f t="shared" si="31"/>
        <v>30/04/2021</v>
      </c>
      <c r="H242" s="4" t="s">
        <v>1</v>
      </c>
      <c r="I242" s="4" t="s">
        <v>0</v>
      </c>
      <c r="J242" s="7" t="s">
        <v>619</v>
      </c>
      <c r="K242" s="7" t="s">
        <v>172</v>
      </c>
      <c r="L242" s="9" t="str">
        <f>+VLOOKUP(K242,'[1]BASE DE PROVEEDORES'!$A:$B,2,0)</f>
        <v>MANEJO INTEGRAL DE DESECHOS SOLIDOS SEM DE C.V.</v>
      </c>
      <c r="M242" s="10">
        <v>0</v>
      </c>
      <c r="N242" s="7" t="s">
        <v>2</v>
      </c>
      <c r="O242" s="7" t="s">
        <v>2</v>
      </c>
      <c r="P242" s="10">
        <v>57.56</v>
      </c>
      <c r="Q242" s="29" t="s">
        <v>2</v>
      </c>
      <c r="R242" s="32" t="s">
        <v>2</v>
      </c>
      <c r="S242" s="32" t="s">
        <v>2</v>
      </c>
      <c r="T242" s="29">
        <v>7.48</v>
      </c>
      <c r="U242" s="29">
        <f t="shared" si="32"/>
        <v>65.040000000000006</v>
      </c>
      <c r="V242" s="4" t="s">
        <v>3</v>
      </c>
      <c r="X242" s="3">
        <f t="shared" si="33"/>
        <v>7.48</v>
      </c>
    </row>
    <row r="243" spans="1:24" hidden="1" x14ac:dyDescent="0.25">
      <c r="A243" s="7" t="s">
        <v>208</v>
      </c>
      <c r="B243" s="4" t="s">
        <v>530</v>
      </c>
      <c r="C243" s="5" t="str">
        <f t="shared" si="29"/>
        <v>30</v>
      </c>
      <c r="D243" s="5" t="str">
        <f t="shared" si="30"/>
        <v>04</v>
      </c>
      <c r="E243" s="4" t="s">
        <v>30</v>
      </c>
      <c r="F243" s="4" t="s">
        <v>31</v>
      </c>
      <c r="G243" s="8" t="str">
        <f t="shared" si="31"/>
        <v>30/04/2021</v>
      </c>
      <c r="H243" s="4" t="s">
        <v>1</v>
      </c>
      <c r="I243" s="4" t="s">
        <v>0</v>
      </c>
      <c r="J243" s="7" t="s">
        <v>627</v>
      </c>
      <c r="K243" s="7" t="s">
        <v>172</v>
      </c>
      <c r="L243" s="9" t="str">
        <f>+VLOOKUP(K243,'[1]BASE DE PROVEEDORES'!$A:$B,2,0)</f>
        <v>MANEJO INTEGRAL DE DESECHOS SOLIDOS SEM DE C.V.</v>
      </c>
      <c r="M243" s="10">
        <v>0</v>
      </c>
      <c r="N243" s="7" t="s">
        <v>2</v>
      </c>
      <c r="O243" s="7" t="s">
        <v>2</v>
      </c>
      <c r="P243" s="10">
        <v>56.26</v>
      </c>
      <c r="Q243" s="29" t="s">
        <v>2</v>
      </c>
      <c r="R243" s="32" t="s">
        <v>2</v>
      </c>
      <c r="S243" s="32" t="s">
        <v>2</v>
      </c>
      <c r="T243" s="29">
        <v>7.31</v>
      </c>
      <c r="U243" s="29">
        <f t="shared" si="32"/>
        <v>63.57</v>
      </c>
      <c r="V243" s="4" t="s">
        <v>3</v>
      </c>
      <c r="X243" s="3">
        <f t="shared" si="33"/>
        <v>7.31</v>
      </c>
    </row>
    <row r="244" spans="1:24" hidden="1" x14ac:dyDescent="0.25">
      <c r="A244" s="7" t="s">
        <v>651</v>
      </c>
      <c r="B244" s="4" t="s">
        <v>781</v>
      </c>
      <c r="C244" s="5" t="str">
        <f t="shared" ref="C244:C275" si="34">+LEFT(B244,2)</f>
        <v>01</v>
      </c>
      <c r="D244" s="5" t="str">
        <f t="shared" ref="D244:D275" si="35">+RIGHT(B244,2)</f>
        <v>03</v>
      </c>
      <c r="E244" s="4" t="s">
        <v>30</v>
      </c>
      <c r="F244" s="4" t="s">
        <v>31</v>
      </c>
      <c r="G244" s="8" t="str">
        <f t="shared" ref="G244:G275" si="36">+C244&amp;F244&amp;D244&amp;F244&amp;E244</f>
        <v>01/03/2021</v>
      </c>
      <c r="H244" s="4" t="s">
        <v>1</v>
      </c>
      <c r="I244" s="4" t="s">
        <v>0</v>
      </c>
      <c r="J244" s="7" t="s">
        <v>782</v>
      </c>
      <c r="K244" s="7" t="s">
        <v>783</v>
      </c>
      <c r="L244" s="9" t="str">
        <f>+VLOOKUP(K244,'[1]BASE DE PROVEEDORES'!$A:$B,2,0)</f>
        <v>PRONEGOCIOS S.A DE C.V.</v>
      </c>
      <c r="M244" s="10">
        <f>8.79+4.4</f>
        <v>13.19</v>
      </c>
      <c r="N244" s="7" t="s">
        <v>2</v>
      </c>
      <c r="O244" s="7" t="s">
        <v>2</v>
      </c>
      <c r="P244" s="10">
        <v>94.52</v>
      </c>
      <c r="Q244" s="29" t="s">
        <v>2</v>
      </c>
      <c r="R244" s="32" t="s">
        <v>2</v>
      </c>
      <c r="S244" s="32" t="s">
        <v>2</v>
      </c>
      <c r="T244" s="29">
        <v>12.29</v>
      </c>
      <c r="U244" s="29">
        <f t="shared" ref="U244:U275" si="37">+M244+P244+T244</f>
        <v>120</v>
      </c>
      <c r="V244" s="4" t="s">
        <v>3</v>
      </c>
      <c r="X244" s="3">
        <f t="shared" ref="X244:X275" si="38">+ROUND(T244,2)</f>
        <v>12.29</v>
      </c>
    </row>
    <row r="245" spans="1:24" hidden="1" x14ac:dyDescent="0.25">
      <c r="A245" s="7" t="s">
        <v>651</v>
      </c>
      <c r="B245" s="4" t="s">
        <v>489</v>
      </c>
      <c r="C245" s="5" t="str">
        <f t="shared" si="34"/>
        <v>07</v>
      </c>
      <c r="D245" s="5" t="str">
        <f t="shared" si="35"/>
        <v>04</v>
      </c>
      <c r="E245" s="4" t="s">
        <v>30</v>
      </c>
      <c r="F245" s="4" t="s">
        <v>31</v>
      </c>
      <c r="G245" s="8" t="str">
        <f t="shared" si="36"/>
        <v>07/04/2021</v>
      </c>
      <c r="H245" s="4" t="s">
        <v>1</v>
      </c>
      <c r="I245" s="4" t="s">
        <v>0</v>
      </c>
      <c r="J245" s="7" t="s">
        <v>755</v>
      </c>
      <c r="K245" s="7" t="s">
        <v>161</v>
      </c>
      <c r="L245" s="9" t="str">
        <f>+VLOOKUP(K245,'[1]BASE DE PROVEEDORES'!$A:$B,2,0)</f>
        <v>UNILLANTAS S.A DE C.V.</v>
      </c>
      <c r="M245" s="10">
        <v>0</v>
      </c>
      <c r="N245" s="7" t="s">
        <v>2</v>
      </c>
      <c r="O245" s="7" t="s">
        <v>2</v>
      </c>
      <c r="P245" s="10">
        <v>244.1</v>
      </c>
      <c r="Q245" s="29" t="s">
        <v>2</v>
      </c>
      <c r="R245" s="32" t="s">
        <v>2</v>
      </c>
      <c r="S245" s="32" t="s">
        <v>2</v>
      </c>
      <c r="T245" s="29">
        <v>31.73</v>
      </c>
      <c r="U245" s="29">
        <f t="shared" si="37"/>
        <v>275.83</v>
      </c>
      <c r="V245" s="4" t="s">
        <v>3</v>
      </c>
      <c r="X245" s="3">
        <f t="shared" si="38"/>
        <v>31.73</v>
      </c>
    </row>
    <row r="246" spans="1:24" hidden="1" x14ac:dyDescent="0.25">
      <c r="A246" s="7" t="s">
        <v>651</v>
      </c>
      <c r="B246" s="4" t="s">
        <v>499</v>
      </c>
      <c r="C246" s="5" t="str">
        <f t="shared" si="34"/>
        <v>13</v>
      </c>
      <c r="D246" s="5" t="str">
        <f t="shared" si="35"/>
        <v>04</v>
      </c>
      <c r="E246" s="4" t="s">
        <v>30</v>
      </c>
      <c r="F246" s="4" t="s">
        <v>31</v>
      </c>
      <c r="G246" s="8" t="str">
        <f t="shared" si="36"/>
        <v>13/04/2021</v>
      </c>
      <c r="H246" s="4" t="s">
        <v>1</v>
      </c>
      <c r="I246" s="4" t="s">
        <v>0</v>
      </c>
      <c r="J246" s="7" t="s">
        <v>774</v>
      </c>
      <c r="K246" s="7" t="s">
        <v>770</v>
      </c>
      <c r="L246" s="9" t="str">
        <f>+VLOOKUP(K246,'[1]BASE DE PROVEEDORES'!$A:$B,2,0)</f>
        <v>RAFAEL RENE CANALES PINAUD</v>
      </c>
      <c r="M246" s="10">
        <f>0.85+3.92</f>
        <v>4.7699999999999996</v>
      </c>
      <c r="N246" s="7" t="s">
        <v>2</v>
      </c>
      <c r="O246" s="7" t="s">
        <v>2</v>
      </c>
      <c r="P246" s="10">
        <v>91.35</v>
      </c>
      <c r="Q246" s="29" t="s">
        <v>2</v>
      </c>
      <c r="R246" s="32" t="s">
        <v>2</v>
      </c>
      <c r="S246" s="32" t="s">
        <v>2</v>
      </c>
      <c r="T246" s="29">
        <v>11.88</v>
      </c>
      <c r="U246" s="29">
        <f t="shared" si="37"/>
        <v>107.99999999999999</v>
      </c>
      <c r="V246" s="4" t="s">
        <v>3</v>
      </c>
      <c r="X246" s="3">
        <f t="shared" si="38"/>
        <v>11.88</v>
      </c>
    </row>
    <row r="247" spans="1:24" hidden="1" x14ac:dyDescent="0.25">
      <c r="A247" s="7" t="s">
        <v>651</v>
      </c>
      <c r="B247" s="4" t="s">
        <v>501</v>
      </c>
      <c r="C247" s="5" t="str">
        <f t="shared" si="34"/>
        <v>14</v>
      </c>
      <c r="D247" s="5" t="str">
        <f t="shared" si="35"/>
        <v>04</v>
      </c>
      <c r="E247" s="4" t="s">
        <v>30</v>
      </c>
      <c r="F247" s="4" t="s">
        <v>31</v>
      </c>
      <c r="G247" s="8" t="str">
        <f t="shared" si="36"/>
        <v>14/04/2021</v>
      </c>
      <c r="H247" s="4" t="s">
        <v>1</v>
      </c>
      <c r="I247" s="4" t="s">
        <v>0</v>
      </c>
      <c r="J247" s="7" t="s">
        <v>771</v>
      </c>
      <c r="K247" s="7" t="s">
        <v>770</v>
      </c>
      <c r="L247" s="9" t="str">
        <f>+VLOOKUP(K247,'[1]BASE DE PROVEEDORES'!$A:$B,2,0)</f>
        <v>RAFAEL RENE CANALES PINAUD</v>
      </c>
      <c r="M247" s="10">
        <f>5.32+2.66</f>
        <v>7.98</v>
      </c>
      <c r="N247" s="7" t="s">
        <v>2</v>
      </c>
      <c r="O247" s="7" t="s">
        <v>2</v>
      </c>
      <c r="P247" s="10">
        <v>61.96</v>
      </c>
      <c r="Q247" s="29" t="s">
        <v>2</v>
      </c>
      <c r="R247" s="32" t="s">
        <v>2</v>
      </c>
      <c r="S247" s="32" t="s">
        <v>2</v>
      </c>
      <c r="T247" s="29">
        <v>8.0500000000000007</v>
      </c>
      <c r="U247" s="29">
        <f t="shared" si="37"/>
        <v>77.989999999999995</v>
      </c>
      <c r="V247" s="4" t="s">
        <v>3</v>
      </c>
      <c r="X247" s="3">
        <f t="shared" si="38"/>
        <v>8.0500000000000007</v>
      </c>
    </row>
    <row r="248" spans="1:24" hidden="1" x14ac:dyDescent="0.25">
      <c r="A248" s="7" t="s">
        <v>651</v>
      </c>
      <c r="B248" s="4" t="s">
        <v>509</v>
      </c>
      <c r="C248" s="5" t="str">
        <f t="shared" si="34"/>
        <v>18</v>
      </c>
      <c r="D248" s="5" t="str">
        <f t="shared" si="35"/>
        <v>04</v>
      </c>
      <c r="E248" s="4" t="s">
        <v>30</v>
      </c>
      <c r="F248" s="4" t="s">
        <v>31</v>
      </c>
      <c r="G248" s="8" t="str">
        <f t="shared" si="36"/>
        <v>18/04/2021</v>
      </c>
      <c r="H248" s="4" t="s">
        <v>1</v>
      </c>
      <c r="I248" s="4" t="s">
        <v>0</v>
      </c>
      <c r="J248" s="7" t="s">
        <v>769</v>
      </c>
      <c r="K248" s="7" t="s">
        <v>770</v>
      </c>
      <c r="L248" s="9" t="str">
        <f>+VLOOKUP(K248,'[1]BASE DE PROVEEDORES'!$A:$B,2,0)</f>
        <v>RAFAEL RENE CANALES PINAUD</v>
      </c>
      <c r="M248" s="10">
        <f>2.33+1.17</f>
        <v>3.5</v>
      </c>
      <c r="N248" s="7" t="s">
        <v>2</v>
      </c>
      <c r="O248" s="7" t="s">
        <v>2</v>
      </c>
      <c r="P248" s="10">
        <v>27.17</v>
      </c>
      <c r="Q248" s="29" t="s">
        <v>2</v>
      </c>
      <c r="R248" s="32" t="s">
        <v>2</v>
      </c>
      <c r="S248" s="32" t="s">
        <v>2</v>
      </c>
      <c r="T248" s="29">
        <v>3.53</v>
      </c>
      <c r="U248" s="29">
        <f t="shared" si="37"/>
        <v>34.200000000000003</v>
      </c>
      <c r="V248" s="4" t="s">
        <v>3</v>
      </c>
      <c r="X248" s="3">
        <f t="shared" si="38"/>
        <v>3.53</v>
      </c>
    </row>
    <row r="249" spans="1:24" hidden="1" x14ac:dyDescent="0.25">
      <c r="A249" s="7" t="s">
        <v>651</v>
      </c>
      <c r="B249" s="4" t="s">
        <v>518</v>
      </c>
      <c r="C249" s="5" t="str">
        <f t="shared" si="34"/>
        <v>22</v>
      </c>
      <c r="D249" s="5" t="str">
        <f t="shared" si="35"/>
        <v>04</v>
      </c>
      <c r="E249" s="4" t="s">
        <v>30</v>
      </c>
      <c r="F249" s="4" t="s">
        <v>31</v>
      </c>
      <c r="G249" s="8" t="str">
        <f t="shared" si="36"/>
        <v>22/04/2021</v>
      </c>
      <c r="H249" s="4" t="s">
        <v>1</v>
      </c>
      <c r="I249" s="4" t="s">
        <v>0</v>
      </c>
      <c r="J249" s="7" t="s">
        <v>772</v>
      </c>
      <c r="K249" s="7" t="s">
        <v>770</v>
      </c>
      <c r="L249" s="9" t="str">
        <f>+VLOOKUP(K249,'[1]BASE DE PROVEEDORES'!$A:$B,2,0)</f>
        <v>RAFAEL RENE CANALES PINAUD</v>
      </c>
      <c r="M249" s="10">
        <v>0</v>
      </c>
      <c r="N249" s="7" t="s">
        <v>2</v>
      </c>
      <c r="O249" s="7" t="s">
        <v>2</v>
      </c>
      <c r="P249" s="10">
        <v>114.34</v>
      </c>
      <c r="Q249" s="29" t="s">
        <v>2</v>
      </c>
      <c r="R249" s="32" t="s">
        <v>2</v>
      </c>
      <c r="S249" s="32" t="s">
        <v>2</v>
      </c>
      <c r="T249" s="29">
        <v>14.86</v>
      </c>
      <c r="U249" s="29">
        <f t="shared" si="37"/>
        <v>129.19999999999999</v>
      </c>
      <c r="V249" s="4" t="s">
        <v>3</v>
      </c>
      <c r="X249" s="3">
        <f t="shared" si="38"/>
        <v>14.86</v>
      </c>
    </row>
    <row r="250" spans="1:24" hidden="1" x14ac:dyDescent="0.25">
      <c r="A250" s="7" t="s">
        <v>651</v>
      </c>
      <c r="B250" s="4" t="s">
        <v>518</v>
      </c>
      <c r="C250" s="5" t="str">
        <f t="shared" si="34"/>
        <v>22</v>
      </c>
      <c r="D250" s="5" t="str">
        <f t="shared" si="35"/>
        <v>04</v>
      </c>
      <c r="E250" s="4" t="s">
        <v>30</v>
      </c>
      <c r="F250" s="4" t="s">
        <v>31</v>
      </c>
      <c r="G250" s="8" t="str">
        <f t="shared" si="36"/>
        <v>22/04/2021</v>
      </c>
      <c r="H250" s="4" t="s">
        <v>1</v>
      </c>
      <c r="I250" s="4" t="s">
        <v>0</v>
      </c>
      <c r="J250" s="7" t="s">
        <v>788</v>
      </c>
      <c r="K250" s="7" t="s">
        <v>789</v>
      </c>
      <c r="L250" s="9" t="str">
        <f>+VLOOKUP(K250,'[1]BASE DE PROVEEDORES'!$A:$B,2,0)</f>
        <v>ULISES OLMEDO SANCHEZ</v>
      </c>
      <c r="M250" s="10">
        <v>0</v>
      </c>
      <c r="N250" s="7" t="s">
        <v>2</v>
      </c>
      <c r="O250" s="7" t="s">
        <v>2</v>
      </c>
      <c r="P250" s="10">
        <v>29.51</v>
      </c>
      <c r="Q250" s="29" t="s">
        <v>2</v>
      </c>
      <c r="R250" s="32" t="s">
        <v>2</v>
      </c>
      <c r="S250" s="32" t="s">
        <v>2</v>
      </c>
      <c r="T250" s="29">
        <v>3.84</v>
      </c>
      <c r="U250" s="29">
        <f t="shared" si="37"/>
        <v>33.35</v>
      </c>
      <c r="V250" s="4" t="s">
        <v>3</v>
      </c>
      <c r="X250" s="3">
        <f t="shared" si="38"/>
        <v>3.84</v>
      </c>
    </row>
    <row r="251" spans="1:24" hidden="1" x14ac:dyDescent="0.25">
      <c r="A251" s="7" t="s">
        <v>651</v>
      </c>
      <c r="B251" s="4" t="s">
        <v>598</v>
      </c>
      <c r="C251" s="5" t="str">
        <f t="shared" si="34"/>
        <v>23</v>
      </c>
      <c r="D251" s="5" t="str">
        <f t="shared" si="35"/>
        <v>04</v>
      </c>
      <c r="E251" s="4" t="s">
        <v>30</v>
      </c>
      <c r="F251" s="4" t="s">
        <v>31</v>
      </c>
      <c r="G251" s="8" t="str">
        <f t="shared" si="36"/>
        <v>23/04/2021</v>
      </c>
      <c r="H251" s="4" t="s">
        <v>1</v>
      </c>
      <c r="I251" s="4" t="s">
        <v>0</v>
      </c>
      <c r="J251" s="7" t="s">
        <v>754</v>
      </c>
      <c r="K251" s="7" t="s">
        <v>112</v>
      </c>
      <c r="L251" s="9" t="str">
        <f>+VLOOKUP(K251,'[1]BASE DE PROVEEDORES'!$A:$B,2,0)</f>
        <v>ALPINA S.A DE C.V.</v>
      </c>
      <c r="M251" s="10">
        <v>0</v>
      </c>
      <c r="N251" s="7" t="s">
        <v>2</v>
      </c>
      <c r="O251" s="7" t="s">
        <v>2</v>
      </c>
      <c r="P251" s="10">
        <v>61.28</v>
      </c>
      <c r="Q251" s="29" t="s">
        <v>2</v>
      </c>
      <c r="R251" s="32" t="s">
        <v>2</v>
      </c>
      <c r="S251" s="32" t="s">
        <v>2</v>
      </c>
      <c r="T251" s="29">
        <v>7.97</v>
      </c>
      <c r="U251" s="29">
        <f t="shared" si="37"/>
        <v>69.25</v>
      </c>
      <c r="V251" s="4" t="s">
        <v>3</v>
      </c>
      <c r="X251" s="3">
        <f t="shared" si="38"/>
        <v>7.97</v>
      </c>
    </row>
    <row r="252" spans="1:24" hidden="1" x14ac:dyDescent="0.25">
      <c r="A252" s="7" t="s">
        <v>651</v>
      </c>
      <c r="B252" s="4" t="s">
        <v>511</v>
      </c>
      <c r="C252" s="5" t="str">
        <f t="shared" si="34"/>
        <v>24</v>
      </c>
      <c r="D252" s="5" t="str">
        <f t="shared" si="35"/>
        <v>04</v>
      </c>
      <c r="E252" s="4" t="s">
        <v>30</v>
      </c>
      <c r="F252" s="4" t="s">
        <v>31</v>
      </c>
      <c r="G252" s="8" t="str">
        <f t="shared" si="36"/>
        <v>24/04/2021</v>
      </c>
      <c r="H252" s="4" t="s">
        <v>1</v>
      </c>
      <c r="I252" s="4" t="s">
        <v>0</v>
      </c>
      <c r="J252" s="7" t="s">
        <v>780</v>
      </c>
      <c r="K252" s="7" t="s">
        <v>126</v>
      </c>
      <c r="L252" s="9" t="str">
        <f>+VLOOKUP(K252,'[1]BASE DE PROVEEDORES'!$A:$B,2,0)</f>
        <v>REPUESTOS IZALCO S.A DE C.V.</v>
      </c>
      <c r="M252" s="10">
        <v>0</v>
      </c>
      <c r="N252" s="7" t="s">
        <v>2</v>
      </c>
      <c r="O252" s="7" t="s">
        <v>2</v>
      </c>
      <c r="P252" s="10">
        <v>98.63</v>
      </c>
      <c r="Q252" s="29" t="s">
        <v>2</v>
      </c>
      <c r="R252" s="32" t="s">
        <v>2</v>
      </c>
      <c r="S252" s="32" t="s">
        <v>2</v>
      </c>
      <c r="T252" s="29">
        <v>12.82</v>
      </c>
      <c r="U252" s="29">
        <f t="shared" si="37"/>
        <v>111.44999999999999</v>
      </c>
      <c r="V252" s="4" t="s">
        <v>3</v>
      </c>
      <c r="X252" s="3">
        <f t="shared" si="38"/>
        <v>12.82</v>
      </c>
    </row>
    <row r="253" spans="1:24" hidden="1" x14ac:dyDescent="0.25">
      <c r="A253" s="7" t="s">
        <v>651</v>
      </c>
      <c r="B253" s="4" t="s">
        <v>524</v>
      </c>
      <c r="C253" s="5" t="str">
        <f t="shared" si="34"/>
        <v>27</v>
      </c>
      <c r="D253" s="5" t="str">
        <f t="shared" si="35"/>
        <v>04</v>
      </c>
      <c r="E253" s="4" t="s">
        <v>30</v>
      </c>
      <c r="F253" s="4" t="s">
        <v>31</v>
      </c>
      <c r="G253" s="8" t="str">
        <f t="shared" si="36"/>
        <v>27/04/2021</v>
      </c>
      <c r="H253" s="4" t="s">
        <v>1</v>
      </c>
      <c r="I253" s="4" t="s">
        <v>0</v>
      </c>
      <c r="J253" s="7" t="s">
        <v>751</v>
      </c>
      <c r="K253" s="7" t="s">
        <v>567</v>
      </c>
      <c r="L253" s="9" t="str">
        <f>+VLOOKUP(K253,'[1]BASE DE PROVEEDORES'!$A:$B,2,0)</f>
        <v>DANIEL ALBETO RUBIO CARCAMO</v>
      </c>
      <c r="M253" s="10">
        <v>0</v>
      </c>
      <c r="N253" s="7" t="s">
        <v>2</v>
      </c>
      <c r="O253" s="7" t="s">
        <v>2</v>
      </c>
      <c r="P253" s="10">
        <v>4.42</v>
      </c>
      <c r="Q253" s="29" t="s">
        <v>2</v>
      </c>
      <c r="R253" s="32" t="s">
        <v>2</v>
      </c>
      <c r="S253" s="32" t="s">
        <v>2</v>
      </c>
      <c r="T253" s="29">
        <v>0.56999999999999995</v>
      </c>
      <c r="U253" s="29">
        <f t="shared" si="37"/>
        <v>4.99</v>
      </c>
      <c r="V253" s="4" t="s">
        <v>3</v>
      </c>
      <c r="X253" s="3">
        <f t="shared" si="38"/>
        <v>0.56999999999999995</v>
      </c>
    </row>
    <row r="254" spans="1:24" hidden="1" x14ac:dyDescent="0.25">
      <c r="A254" s="7" t="s">
        <v>651</v>
      </c>
      <c r="B254" s="4" t="s">
        <v>528</v>
      </c>
      <c r="C254" s="5" t="str">
        <f t="shared" si="34"/>
        <v>29</v>
      </c>
      <c r="D254" s="5" t="str">
        <f t="shared" si="35"/>
        <v>04</v>
      </c>
      <c r="E254" s="4" t="s">
        <v>30</v>
      </c>
      <c r="F254" s="4" t="s">
        <v>31</v>
      </c>
      <c r="G254" s="8" t="str">
        <f t="shared" si="36"/>
        <v>29/04/2021</v>
      </c>
      <c r="H254" s="4" t="s">
        <v>1</v>
      </c>
      <c r="I254" s="4" t="s">
        <v>0</v>
      </c>
      <c r="J254" s="7" t="s">
        <v>745</v>
      </c>
      <c r="K254" s="7" t="s">
        <v>112</v>
      </c>
      <c r="L254" s="9" t="str">
        <f>+VLOOKUP(K254,'[1]BASE DE PROVEEDORES'!$A:$B,2,0)</f>
        <v>ALPINA S.A DE C.V.</v>
      </c>
      <c r="M254" s="10">
        <v>0</v>
      </c>
      <c r="N254" s="7" t="s">
        <v>2</v>
      </c>
      <c r="O254" s="7" t="s">
        <v>2</v>
      </c>
      <c r="P254" s="10">
        <v>73.290000000000006</v>
      </c>
      <c r="Q254" s="29" t="s">
        <v>2</v>
      </c>
      <c r="R254" s="32" t="s">
        <v>2</v>
      </c>
      <c r="S254" s="32" t="s">
        <v>2</v>
      </c>
      <c r="T254" s="29">
        <v>9.5299999999999994</v>
      </c>
      <c r="U254" s="29">
        <f t="shared" si="37"/>
        <v>82.820000000000007</v>
      </c>
      <c r="V254" s="4" t="s">
        <v>3</v>
      </c>
      <c r="X254" s="3">
        <f t="shared" si="38"/>
        <v>9.5299999999999994</v>
      </c>
    </row>
    <row r="255" spans="1:24" hidden="1" x14ac:dyDescent="0.25">
      <c r="A255" s="7" t="s">
        <v>651</v>
      </c>
      <c r="B255" s="4" t="s">
        <v>530</v>
      </c>
      <c r="C255" s="5" t="str">
        <f t="shared" si="34"/>
        <v>30</v>
      </c>
      <c r="D255" s="5" t="str">
        <f t="shared" si="35"/>
        <v>04</v>
      </c>
      <c r="E255" s="4" t="s">
        <v>30</v>
      </c>
      <c r="F255" s="4" t="s">
        <v>31</v>
      </c>
      <c r="G255" s="8" t="str">
        <f t="shared" si="36"/>
        <v>30/04/2021</v>
      </c>
      <c r="H255" s="4" t="s">
        <v>1</v>
      </c>
      <c r="I255" s="4" t="s">
        <v>0</v>
      </c>
      <c r="J255" s="7" t="s">
        <v>746</v>
      </c>
      <c r="K255" s="7" t="s">
        <v>117</v>
      </c>
      <c r="L255" s="9" t="str">
        <f>+VLOOKUP(K255,'[1]BASE DE PROVEEDORES'!$A:$B,2,0)</f>
        <v>PULSEM DE C.V.</v>
      </c>
      <c r="M255" s="10">
        <v>0</v>
      </c>
      <c r="N255" s="7" t="s">
        <v>2</v>
      </c>
      <c r="O255" s="7" t="s">
        <v>2</v>
      </c>
      <c r="P255" s="10">
        <v>1183.2</v>
      </c>
      <c r="Q255" s="29" t="s">
        <v>2</v>
      </c>
      <c r="R255" s="32" t="s">
        <v>2</v>
      </c>
      <c r="S255" s="32" t="s">
        <v>2</v>
      </c>
      <c r="T255" s="29">
        <v>153.82</v>
      </c>
      <c r="U255" s="29">
        <f t="shared" si="37"/>
        <v>1337.02</v>
      </c>
      <c r="V255" s="4" t="s">
        <v>3</v>
      </c>
      <c r="X255" s="3">
        <f t="shared" si="38"/>
        <v>153.82</v>
      </c>
    </row>
    <row r="256" spans="1:24" hidden="1" x14ac:dyDescent="0.25">
      <c r="A256" s="7" t="s">
        <v>651</v>
      </c>
      <c r="B256" s="4" t="s">
        <v>530</v>
      </c>
      <c r="C256" s="5" t="str">
        <f t="shared" si="34"/>
        <v>30</v>
      </c>
      <c r="D256" s="5" t="str">
        <f t="shared" si="35"/>
        <v>04</v>
      </c>
      <c r="E256" s="4" t="s">
        <v>30</v>
      </c>
      <c r="F256" s="4" t="s">
        <v>31</v>
      </c>
      <c r="G256" s="8" t="str">
        <f t="shared" si="36"/>
        <v>30/04/2021</v>
      </c>
      <c r="H256" s="4" t="s">
        <v>1</v>
      </c>
      <c r="I256" s="4" t="s">
        <v>0</v>
      </c>
      <c r="J256" s="7" t="s">
        <v>766</v>
      </c>
      <c r="K256" s="7" t="s">
        <v>136</v>
      </c>
      <c r="L256" s="9" t="str">
        <f>+VLOOKUP(K256,'[1]BASE DE PROVEEDORES'!$A:$B,2,0)</f>
        <v>CTE TELECOM PERSONAL S.A DE C.V.</v>
      </c>
      <c r="M256" s="10">
        <v>0</v>
      </c>
      <c r="N256" s="7" t="s">
        <v>2</v>
      </c>
      <c r="O256" s="7" t="s">
        <v>2</v>
      </c>
      <c r="P256" s="10">
        <v>76.13</v>
      </c>
      <c r="Q256" s="29" t="s">
        <v>2</v>
      </c>
      <c r="R256" s="32" t="s">
        <v>2</v>
      </c>
      <c r="S256" s="32" t="s">
        <v>2</v>
      </c>
      <c r="T256" s="29">
        <v>9.9</v>
      </c>
      <c r="U256" s="29">
        <f t="shared" si="37"/>
        <v>86.03</v>
      </c>
      <c r="V256" s="4" t="s">
        <v>3</v>
      </c>
      <c r="X256" s="3">
        <f t="shared" si="38"/>
        <v>9.9</v>
      </c>
    </row>
    <row r="257" spans="1:24" hidden="1" x14ac:dyDescent="0.25">
      <c r="A257" s="7" t="s">
        <v>651</v>
      </c>
      <c r="B257" s="4" t="s">
        <v>670</v>
      </c>
      <c r="C257" s="5" t="str">
        <f t="shared" si="34"/>
        <v>01</v>
      </c>
      <c r="D257" s="5" t="str">
        <f t="shared" si="35"/>
        <v>05</v>
      </c>
      <c r="E257" s="4" t="s">
        <v>30</v>
      </c>
      <c r="F257" s="4" t="s">
        <v>31</v>
      </c>
      <c r="G257" s="8" t="str">
        <f t="shared" si="36"/>
        <v>01/05/2021</v>
      </c>
      <c r="H257" s="4" t="s">
        <v>1</v>
      </c>
      <c r="I257" s="4" t="s">
        <v>0</v>
      </c>
      <c r="J257" s="7" t="s">
        <v>671</v>
      </c>
      <c r="K257" s="7" t="s">
        <v>45</v>
      </c>
      <c r="L257" s="9" t="str">
        <f>+VLOOKUP(K257,'[1]BASE DE PROVEEDORES'!$A:$B,2,0)</f>
        <v>JOSE RICARDO ANTONIO MOLINA</v>
      </c>
      <c r="M257" s="10">
        <f>2.8+2.4</f>
        <v>5.1999999999999993</v>
      </c>
      <c r="N257" s="7" t="s">
        <v>2</v>
      </c>
      <c r="O257" s="7" t="s">
        <v>2</v>
      </c>
      <c r="P257" s="10">
        <v>54.57</v>
      </c>
      <c r="Q257" s="29" t="s">
        <v>2</v>
      </c>
      <c r="R257" s="32" t="s">
        <v>2</v>
      </c>
      <c r="S257" s="32" t="s">
        <v>2</v>
      </c>
      <c r="T257" s="29">
        <v>7.09</v>
      </c>
      <c r="U257" s="29">
        <f t="shared" si="37"/>
        <v>66.86</v>
      </c>
      <c r="V257" s="4" t="s">
        <v>3</v>
      </c>
      <c r="X257" s="3">
        <f t="shared" si="38"/>
        <v>7.09</v>
      </c>
    </row>
    <row r="258" spans="1:24" hidden="1" x14ac:dyDescent="0.25">
      <c r="A258" s="7" t="s">
        <v>651</v>
      </c>
      <c r="B258" s="4" t="s">
        <v>672</v>
      </c>
      <c r="C258" s="5" t="str">
        <f t="shared" si="34"/>
        <v>02</v>
      </c>
      <c r="D258" s="5" t="str">
        <f t="shared" si="35"/>
        <v>05</v>
      </c>
      <c r="E258" s="4" t="s">
        <v>30</v>
      </c>
      <c r="F258" s="4" t="s">
        <v>31</v>
      </c>
      <c r="G258" s="8" t="str">
        <f t="shared" si="36"/>
        <v>02/05/2021</v>
      </c>
      <c r="H258" s="4" t="s">
        <v>1</v>
      </c>
      <c r="I258" s="4" t="s">
        <v>0</v>
      </c>
      <c r="J258" s="7" t="s">
        <v>673</v>
      </c>
      <c r="K258" s="7" t="s">
        <v>45</v>
      </c>
      <c r="L258" s="9" t="str">
        <f>+VLOOKUP(K258,'[1]BASE DE PROVEEDORES'!$A:$B,2,0)</f>
        <v>JOSE RICARDO ANTONIO MOLINA</v>
      </c>
      <c r="M258" s="10">
        <f>7.32+3.66</f>
        <v>10.98</v>
      </c>
      <c r="N258" s="7" t="s">
        <v>2</v>
      </c>
      <c r="O258" s="7" t="s">
        <v>2</v>
      </c>
      <c r="P258" s="10">
        <v>83.21</v>
      </c>
      <c r="Q258" s="29" t="s">
        <v>2</v>
      </c>
      <c r="R258" s="32" t="s">
        <v>2</v>
      </c>
      <c r="S258" s="32" t="s">
        <v>2</v>
      </c>
      <c r="T258" s="29">
        <v>10.82</v>
      </c>
      <c r="U258" s="29">
        <f t="shared" si="37"/>
        <v>105.00999999999999</v>
      </c>
      <c r="V258" s="4" t="s">
        <v>3</v>
      </c>
      <c r="X258" s="3">
        <f t="shared" si="38"/>
        <v>10.82</v>
      </c>
    </row>
    <row r="259" spans="1:24" hidden="1" x14ac:dyDescent="0.25">
      <c r="A259" s="7" t="s">
        <v>651</v>
      </c>
      <c r="B259" s="4" t="s">
        <v>672</v>
      </c>
      <c r="C259" s="5" t="str">
        <f t="shared" si="34"/>
        <v>02</v>
      </c>
      <c r="D259" s="5" t="str">
        <f t="shared" si="35"/>
        <v>05</v>
      </c>
      <c r="E259" s="4" t="s">
        <v>30</v>
      </c>
      <c r="F259" s="4" t="s">
        <v>31</v>
      </c>
      <c r="G259" s="8" t="str">
        <f t="shared" si="36"/>
        <v>02/05/2021</v>
      </c>
      <c r="H259" s="4" t="s">
        <v>1</v>
      </c>
      <c r="I259" s="4" t="s">
        <v>0</v>
      </c>
      <c r="J259" s="7" t="s">
        <v>768</v>
      </c>
      <c r="K259" s="7" t="s">
        <v>21</v>
      </c>
      <c r="L259" s="9" t="str">
        <f>+VLOOKUP(K259,'[1]BASE DE PROVEEDORES'!$A:$B,2,0)</f>
        <v>FREUND S.A DE C.V.</v>
      </c>
      <c r="M259" s="10">
        <v>0</v>
      </c>
      <c r="N259" s="7" t="s">
        <v>2</v>
      </c>
      <c r="O259" s="7" t="s">
        <v>2</v>
      </c>
      <c r="P259" s="10">
        <v>6.73</v>
      </c>
      <c r="Q259" s="29" t="s">
        <v>2</v>
      </c>
      <c r="R259" s="32" t="s">
        <v>2</v>
      </c>
      <c r="S259" s="32" t="s">
        <v>2</v>
      </c>
      <c r="T259" s="29">
        <v>0.87</v>
      </c>
      <c r="U259" s="29">
        <f t="shared" si="37"/>
        <v>7.6000000000000005</v>
      </c>
      <c r="V259" s="4" t="s">
        <v>3</v>
      </c>
      <c r="X259" s="3">
        <f t="shared" si="38"/>
        <v>0.87</v>
      </c>
    </row>
    <row r="260" spans="1:24" hidden="1" x14ac:dyDescent="0.25">
      <c r="A260" s="7" t="s">
        <v>651</v>
      </c>
      <c r="B260" s="4" t="s">
        <v>672</v>
      </c>
      <c r="C260" s="5" t="str">
        <f t="shared" si="34"/>
        <v>02</v>
      </c>
      <c r="D260" s="5" t="str">
        <f t="shared" si="35"/>
        <v>05</v>
      </c>
      <c r="E260" s="4" t="s">
        <v>30</v>
      </c>
      <c r="F260" s="4" t="s">
        <v>31</v>
      </c>
      <c r="G260" s="8" t="str">
        <f t="shared" si="36"/>
        <v>02/05/2021</v>
      </c>
      <c r="H260" s="4" t="s">
        <v>1</v>
      </c>
      <c r="I260" s="4" t="s">
        <v>0</v>
      </c>
      <c r="J260" s="7" t="s">
        <v>773</v>
      </c>
      <c r="K260" s="7" t="s">
        <v>770</v>
      </c>
      <c r="L260" s="9" t="str">
        <f>+VLOOKUP(K260,'[1]BASE DE PROVEEDORES'!$A:$B,2,0)</f>
        <v>RAFAEL RENE CANALES PINAUD</v>
      </c>
      <c r="M260" s="10">
        <f>5.57+2.79</f>
        <v>8.36</v>
      </c>
      <c r="N260" s="7" t="s">
        <v>2</v>
      </c>
      <c r="O260" s="7" t="s">
        <v>2</v>
      </c>
      <c r="P260" s="10">
        <v>63.4</v>
      </c>
      <c r="Q260" s="29" t="s">
        <v>2</v>
      </c>
      <c r="R260" s="32" t="s">
        <v>2</v>
      </c>
      <c r="S260" s="32" t="s">
        <v>2</v>
      </c>
      <c r="T260" s="29">
        <v>8.24</v>
      </c>
      <c r="U260" s="29">
        <f t="shared" si="37"/>
        <v>79.999999999999986</v>
      </c>
      <c r="V260" s="4" t="s">
        <v>3</v>
      </c>
      <c r="X260" s="3">
        <f t="shared" si="38"/>
        <v>8.24</v>
      </c>
    </row>
    <row r="261" spans="1:24" hidden="1" x14ac:dyDescent="0.25">
      <c r="A261" s="7" t="s">
        <v>651</v>
      </c>
      <c r="B261" s="4" t="s">
        <v>652</v>
      </c>
      <c r="C261" s="5" t="str">
        <f t="shared" si="34"/>
        <v>03</v>
      </c>
      <c r="D261" s="5" t="str">
        <f t="shared" si="35"/>
        <v>05</v>
      </c>
      <c r="E261" s="4" t="s">
        <v>30</v>
      </c>
      <c r="F261" s="4" t="s">
        <v>31</v>
      </c>
      <c r="G261" s="8" t="str">
        <f t="shared" si="36"/>
        <v>03/05/2021</v>
      </c>
      <c r="H261" s="4" t="s">
        <v>1</v>
      </c>
      <c r="I261" s="4" t="s">
        <v>0</v>
      </c>
      <c r="J261" s="7" t="s">
        <v>674</v>
      </c>
      <c r="K261" s="7" t="s">
        <v>45</v>
      </c>
      <c r="L261" s="9" t="str">
        <f>+VLOOKUP(K261,'[1]BASE DE PROVEEDORES'!$A:$B,2,0)</f>
        <v>JOSE RICARDO ANTONIO MOLINA</v>
      </c>
      <c r="M261" s="10">
        <f>1.25+0.63</f>
        <v>1.88</v>
      </c>
      <c r="N261" s="7" t="s">
        <v>2</v>
      </c>
      <c r="O261" s="7" t="s">
        <v>2</v>
      </c>
      <c r="P261" s="10">
        <v>14.26</v>
      </c>
      <c r="Q261" s="29" t="s">
        <v>2</v>
      </c>
      <c r="R261" s="32" t="s">
        <v>2</v>
      </c>
      <c r="S261" s="32" t="s">
        <v>2</v>
      </c>
      <c r="T261" s="29">
        <v>1.85</v>
      </c>
      <c r="U261" s="29">
        <f t="shared" si="37"/>
        <v>17.990000000000002</v>
      </c>
      <c r="V261" s="4" t="s">
        <v>3</v>
      </c>
      <c r="X261" s="3">
        <f t="shared" si="38"/>
        <v>1.85</v>
      </c>
    </row>
    <row r="262" spans="1:24" hidden="1" x14ac:dyDescent="0.25">
      <c r="A262" s="7" t="s">
        <v>651</v>
      </c>
      <c r="B262" s="4" t="s">
        <v>652</v>
      </c>
      <c r="C262" s="5" t="str">
        <f t="shared" si="34"/>
        <v>03</v>
      </c>
      <c r="D262" s="5" t="str">
        <f t="shared" si="35"/>
        <v>05</v>
      </c>
      <c r="E262" s="4" t="s">
        <v>30</v>
      </c>
      <c r="F262" s="4" t="s">
        <v>31</v>
      </c>
      <c r="G262" s="8" t="str">
        <f t="shared" si="36"/>
        <v>03/05/2021</v>
      </c>
      <c r="H262" s="4" t="s">
        <v>1</v>
      </c>
      <c r="I262" s="4" t="s">
        <v>0</v>
      </c>
      <c r="J262" s="7" t="s">
        <v>742</v>
      </c>
      <c r="K262" s="7" t="s">
        <v>28</v>
      </c>
      <c r="L262" s="9" t="str">
        <f>+VLOOKUP(K262,'[1]BASE DE PROVEEDORES'!$A:$B,2,0)</f>
        <v xml:space="preserve">ACTIVIDADES PETROLERAS DE EL SALVADOR S.A DE C.V </v>
      </c>
      <c r="M262" s="10">
        <f>2.07+1.03</f>
        <v>3.0999999999999996</v>
      </c>
      <c r="N262" s="7" t="s">
        <v>2</v>
      </c>
      <c r="O262" s="7" t="s">
        <v>2</v>
      </c>
      <c r="P262" s="10">
        <v>28.58</v>
      </c>
      <c r="Q262" s="29" t="s">
        <v>2</v>
      </c>
      <c r="R262" s="32" t="s">
        <v>2</v>
      </c>
      <c r="S262" s="32" t="s">
        <v>2</v>
      </c>
      <c r="T262" s="29">
        <v>3.72</v>
      </c>
      <c r="U262" s="29">
        <f t="shared" si="37"/>
        <v>35.4</v>
      </c>
      <c r="V262" s="4" t="s">
        <v>3</v>
      </c>
      <c r="X262" s="3">
        <f t="shared" si="38"/>
        <v>3.72</v>
      </c>
    </row>
    <row r="263" spans="1:24" hidden="1" x14ac:dyDescent="0.25">
      <c r="A263" s="7" t="s">
        <v>651</v>
      </c>
      <c r="B263" s="4" t="s">
        <v>652</v>
      </c>
      <c r="C263" s="5" t="str">
        <f t="shared" si="34"/>
        <v>03</v>
      </c>
      <c r="D263" s="5" t="str">
        <f t="shared" si="35"/>
        <v>05</v>
      </c>
      <c r="E263" s="4" t="s">
        <v>30</v>
      </c>
      <c r="F263" s="4" t="s">
        <v>31</v>
      </c>
      <c r="G263" s="8" t="str">
        <f t="shared" si="36"/>
        <v>03/05/2021</v>
      </c>
      <c r="H263" s="4" t="s">
        <v>1</v>
      </c>
      <c r="I263" s="4" t="s">
        <v>0</v>
      </c>
      <c r="J263" s="7" t="s">
        <v>743</v>
      </c>
      <c r="K263" s="7" t="s">
        <v>28</v>
      </c>
      <c r="L263" s="9" t="str">
        <f>+VLOOKUP(K263,'[1]BASE DE PROVEEDORES'!$A:$B,2,0)</f>
        <v xml:space="preserve">ACTIVIDADES PETROLERAS DE EL SALVADOR S.A DE C.V </v>
      </c>
      <c r="M263" s="10">
        <f>1.26+0.63</f>
        <v>1.8900000000000001</v>
      </c>
      <c r="N263" s="7" t="s">
        <v>2</v>
      </c>
      <c r="O263" s="7" t="s">
        <v>2</v>
      </c>
      <c r="P263" s="10">
        <v>14.35</v>
      </c>
      <c r="Q263" s="29" t="s">
        <v>2</v>
      </c>
      <c r="R263" s="32" t="s">
        <v>2</v>
      </c>
      <c r="S263" s="32" t="s">
        <v>2</v>
      </c>
      <c r="T263" s="29">
        <v>1.87</v>
      </c>
      <c r="U263" s="29">
        <f t="shared" si="37"/>
        <v>18.11</v>
      </c>
      <c r="V263" s="4" t="s">
        <v>3</v>
      </c>
      <c r="X263" s="3">
        <f t="shared" si="38"/>
        <v>1.87</v>
      </c>
    </row>
    <row r="264" spans="1:24" hidden="1" x14ac:dyDescent="0.25">
      <c r="A264" s="7" t="s">
        <v>651</v>
      </c>
      <c r="B264" s="4" t="s">
        <v>652</v>
      </c>
      <c r="C264" s="5" t="str">
        <f t="shared" si="34"/>
        <v>03</v>
      </c>
      <c r="D264" s="5" t="str">
        <f t="shared" si="35"/>
        <v>05</v>
      </c>
      <c r="E264" s="4" t="s">
        <v>30</v>
      </c>
      <c r="F264" s="4" t="s">
        <v>31</v>
      </c>
      <c r="G264" s="8" t="str">
        <f t="shared" si="36"/>
        <v>03/05/2021</v>
      </c>
      <c r="H264" s="4" t="s">
        <v>1</v>
      </c>
      <c r="I264" s="4" t="s">
        <v>0</v>
      </c>
      <c r="J264" s="7" t="s">
        <v>744</v>
      </c>
      <c r="K264" s="7" t="s">
        <v>28</v>
      </c>
      <c r="L264" s="9" t="str">
        <f>+VLOOKUP(K264,'[1]BASE DE PROVEEDORES'!$A:$B,2,0)</f>
        <v xml:space="preserve">ACTIVIDADES PETROLERAS DE EL SALVADOR S.A DE C.V </v>
      </c>
      <c r="M264" s="10">
        <f>2.6+1.3</f>
        <v>3.9000000000000004</v>
      </c>
      <c r="N264" s="7" t="s">
        <v>2</v>
      </c>
      <c r="O264" s="7" t="s">
        <v>2</v>
      </c>
      <c r="P264" s="10">
        <v>29.62</v>
      </c>
      <c r="Q264" s="29" t="s">
        <v>2</v>
      </c>
      <c r="R264" s="32" t="s">
        <v>2</v>
      </c>
      <c r="S264" s="32" t="s">
        <v>2</v>
      </c>
      <c r="T264" s="29">
        <v>3.85</v>
      </c>
      <c r="U264" s="29">
        <f t="shared" si="37"/>
        <v>37.370000000000005</v>
      </c>
      <c r="V264" s="4" t="s">
        <v>3</v>
      </c>
      <c r="X264" s="3">
        <f t="shared" si="38"/>
        <v>3.85</v>
      </c>
    </row>
    <row r="265" spans="1:24" hidden="1" x14ac:dyDescent="0.25">
      <c r="A265" s="7" t="s">
        <v>651</v>
      </c>
      <c r="B265" s="4" t="s">
        <v>652</v>
      </c>
      <c r="C265" s="5" t="str">
        <f t="shared" si="34"/>
        <v>03</v>
      </c>
      <c r="D265" s="5" t="str">
        <f t="shared" si="35"/>
        <v>05</v>
      </c>
      <c r="E265" s="4" t="s">
        <v>30</v>
      </c>
      <c r="F265" s="4" t="s">
        <v>31</v>
      </c>
      <c r="G265" s="8" t="str">
        <f t="shared" si="36"/>
        <v>03/05/2021</v>
      </c>
      <c r="H265" s="4" t="s">
        <v>1</v>
      </c>
      <c r="I265" s="4" t="s">
        <v>0</v>
      </c>
      <c r="J265" s="7" t="s">
        <v>777</v>
      </c>
      <c r="K265" s="7" t="s">
        <v>770</v>
      </c>
      <c r="L265" s="9" t="str">
        <f>+VLOOKUP(K265,'[1]BASE DE PROVEEDORES'!$A:$B,2,0)</f>
        <v>RAFAEL RENE CANALES PINAUD</v>
      </c>
      <c r="M265" s="10">
        <f>4.53+9.06</f>
        <v>13.59</v>
      </c>
      <c r="N265" s="7" t="s">
        <v>2</v>
      </c>
      <c r="O265" s="7" t="s">
        <v>2</v>
      </c>
      <c r="P265" s="10">
        <v>103.02</v>
      </c>
      <c r="Q265" s="29" t="s">
        <v>2</v>
      </c>
      <c r="R265" s="32" t="s">
        <v>2</v>
      </c>
      <c r="S265" s="32" t="s">
        <v>2</v>
      </c>
      <c r="T265" s="29">
        <v>13.39</v>
      </c>
      <c r="U265" s="29">
        <f t="shared" si="37"/>
        <v>130</v>
      </c>
      <c r="V265" s="4" t="s">
        <v>3</v>
      </c>
      <c r="X265" s="3">
        <f t="shared" si="38"/>
        <v>13.39</v>
      </c>
    </row>
    <row r="266" spans="1:24" hidden="1" x14ac:dyDescent="0.25">
      <c r="A266" s="7" t="s">
        <v>651</v>
      </c>
      <c r="B266" s="4" t="s">
        <v>652</v>
      </c>
      <c r="C266" s="5" t="str">
        <f t="shared" si="34"/>
        <v>03</v>
      </c>
      <c r="D266" s="5" t="str">
        <f t="shared" si="35"/>
        <v>05</v>
      </c>
      <c r="E266" s="4" t="s">
        <v>30</v>
      </c>
      <c r="F266" s="4" t="s">
        <v>31</v>
      </c>
      <c r="G266" s="8" t="str">
        <f t="shared" si="36"/>
        <v>03/05/2021</v>
      </c>
      <c r="H266" s="4" t="s">
        <v>1</v>
      </c>
      <c r="I266" s="4" t="s">
        <v>0</v>
      </c>
      <c r="J266" s="7" t="s">
        <v>802</v>
      </c>
      <c r="K266" s="7" t="s">
        <v>172</v>
      </c>
      <c r="L266" s="9" t="str">
        <f>+VLOOKUP(K266,'[1]BASE DE PROVEEDORES'!$A:$B,2,0)</f>
        <v>MANEJO INTEGRAL DE DESECHOS SOLIDOS SEM DE C.V.</v>
      </c>
      <c r="M266" s="10">
        <v>0</v>
      </c>
      <c r="N266" s="7" t="s">
        <v>2</v>
      </c>
      <c r="O266" s="7" t="s">
        <v>2</v>
      </c>
      <c r="P266" s="10">
        <v>56.26</v>
      </c>
      <c r="Q266" s="29" t="s">
        <v>2</v>
      </c>
      <c r="R266" s="32" t="s">
        <v>2</v>
      </c>
      <c r="S266" s="32" t="s">
        <v>2</v>
      </c>
      <c r="T266" s="29">
        <v>7.31</v>
      </c>
      <c r="U266" s="29">
        <f t="shared" si="37"/>
        <v>63.57</v>
      </c>
      <c r="V266" s="4" t="s">
        <v>3</v>
      </c>
      <c r="X266" s="3">
        <f t="shared" si="38"/>
        <v>7.31</v>
      </c>
    </row>
    <row r="267" spans="1:24" hidden="1" x14ac:dyDescent="0.25">
      <c r="A267" s="7" t="s">
        <v>651</v>
      </c>
      <c r="B267" s="4" t="s">
        <v>652</v>
      </c>
      <c r="C267" s="5" t="str">
        <f t="shared" si="34"/>
        <v>03</v>
      </c>
      <c r="D267" s="5" t="str">
        <f t="shared" si="35"/>
        <v>05</v>
      </c>
      <c r="E267" s="4" t="s">
        <v>30</v>
      </c>
      <c r="F267" s="4" t="s">
        <v>31</v>
      </c>
      <c r="G267" s="8" t="str">
        <f t="shared" si="36"/>
        <v>03/05/2021</v>
      </c>
      <c r="H267" s="4" t="s">
        <v>1</v>
      </c>
      <c r="I267" s="4" t="s">
        <v>0</v>
      </c>
      <c r="J267" s="7" t="s">
        <v>807</v>
      </c>
      <c r="K267" s="7" t="s">
        <v>172</v>
      </c>
      <c r="L267" s="9" t="str">
        <f>+VLOOKUP(K267,'[1]BASE DE PROVEEDORES'!$A:$B,2,0)</f>
        <v>MANEJO INTEGRAL DE DESECHOS SOLIDOS SEM DE C.V.</v>
      </c>
      <c r="M267" s="10">
        <v>0</v>
      </c>
      <c r="N267" s="7" t="s">
        <v>2</v>
      </c>
      <c r="O267" s="7" t="s">
        <v>2</v>
      </c>
      <c r="P267" s="10">
        <v>32.57</v>
      </c>
      <c r="Q267" s="29" t="s">
        <v>2</v>
      </c>
      <c r="R267" s="32" t="s">
        <v>2</v>
      </c>
      <c r="S267" s="32" t="s">
        <v>2</v>
      </c>
      <c r="T267" s="29">
        <v>4.2300000000000004</v>
      </c>
      <c r="U267" s="29">
        <f t="shared" si="37"/>
        <v>36.799999999999997</v>
      </c>
      <c r="V267" s="4" t="s">
        <v>3</v>
      </c>
      <c r="X267" s="3">
        <f t="shared" si="38"/>
        <v>4.2300000000000004</v>
      </c>
    </row>
    <row r="268" spans="1:24" hidden="1" x14ac:dyDescent="0.25">
      <c r="A268" s="7" t="s">
        <v>651</v>
      </c>
      <c r="B268" s="4" t="s">
        <v>652</v>
      </c>
      <c r="C268" s="5" t="str">
        <f t="shared" si="34"/>
        <v>03</v>
      </c>
      <c r="D268" s="5" t="str">
        <f t="shared" si="35"/>
        <v>05</v>
      </c>
      <c r="E268" s="4" t="s">
        <v>30</v>
      </c>
      <c r="F268" s="4" t="s">
        <v>31</v>
      </c>
      <c r="G268" s="8" t="str">
        <f t="shared" si="36"/>
        <v>03/05/2021</v>
      </c>
      <c r="H268" s="4" t="s">
        <v>1</v>
      </c>
      <c r="I268" s="4" t="s">
        <v>0</v>
      </c>
      <c r="J268" s="7" t="s">
        <v>838</v>
      </c>
      <c r="K268" s="7" t="s">
        <v>172</v>
      </c>
      <c r="L268" s="9" t="str">
        <f>+VLOOKUP(K268,'[1]BASE DE PROVEEDORES'!$A:$B,2,0)</f>
        <v>MANEJO INTEGRAL DE DESECHOS SOLIDOS SEM DE C.V.</v>
      </c>
      <c r="M268" s="10">
        <v>0</v>
      </c>
      <c r="N268" s="7" t="s">
        <v>2</v>
      </c>
      <c r="O268" s="7" t="s">
        <v>2</v>
      </c>
      <c r="P268" s="10">
        <v>28.08</v>
      </c>
      <c r="Q268" s="29" t="s">
        <v>2</v>
      </c>
      <c r="R268" s="32" t="s">
        <v>2</v>
      </c>
      <c r="S268" s="32" t="s">
        <v>2</v>
      </c>
      <c r="T268" s="29">
        <v>3.65</v>
      </c>
      <c r="U268" s="29">
        <f t="shared" si="37"/>
        <v>31.729999999999997</v>
      </c>
      <c r="V268" s="4" t="s">
        <v>3</v>
      </c>
      <c r="X268" s="3">
        <f t="shared" si="38"/>
        <v>3.65</v>
      </c>
    </row>
    <row r="269" spans="1:24" hidden="1" x14ac:dyDescent="0.25">
      <c r="A269" s="7" t="s">
        <v>651</v>
      </c>
      <c r="B269" s="4" t="s">
        <v>652</v>
      </c>
      <c r="C269" s="5" t="str">
        <f t="shared" si="34"/>
        <v>03</v>
      </c>
      <c r="D269" s="5" t="str">
        <f t="shared" si="35"/>
        <v>05</v>
      </c>
      <c r="E269" s="4" t="s">
        <v>30</v>
      </c>
      <c r="F269" s="4" t="s">
        <v>31</v>
      </c>
      <c r="G269" s="8" t="str">
        <f t="shared" si="36"/>
        <v>03/05/2021</v>
      </c>
      <c r="H269" s="4" t="s">
        <v>1</v>
      </c>
      <c r="I269" s="4" t="s">
        <v>0</v>
      </c>
      <c r="J269" s="7" t="s">
        <v>839</v>
      </c>
      <c r="K269" s="7" t="s">
        <v>172</v>
      </c>
      <c r="L269" s="9" t="str">
        <f>+VLOOKUP(K269,'[1]BASE DE PROVEEDORES'!$A:$B,2,0)</f>
        <v>MANEJO INTEGRAL DE DESECHOS SOLIDOS SEM DE C.V.</v>
      </c>
      <c r="M269" s="10">
        <v>0</v>
      </c>
      <c r="N269" s="7" t="s">
        <v>2</v>
      </c>
      <c r="O269" s="7" t="s">
        <v>2</v>
      </c>
      <c r="P269" s="10">
        <v>56.26</v>
      </c>
      <c r="Q269" s="29" t="s">
        <v>2</v>
      </c>
      <c r="R269" s="32" t="s">
        <v>2</v>
      </c>
      <c r="S269" s="32" t="s">
        <v>2</v>
      </c>
      <c r="T269" s="29">
        <v>7.31</v>
      </c>
      <c r="U269" s="29">
        <f t="shared" si="37"/>
        <v>63.57</v>
      </c>
      <c r="V269" s="4" t="s">
        <v>3</v>
      </c>
      <c r="X269" s="3">
        <f t="shared" si="38"/>
        <v>7.31</v>
      </c>
    </row>
    <row r="270" spans="1:24" hidden="1" x14ac:dyDescent="0.25">
      <c r="A270" s="7" t="s">
        <v>651</v>
      </c>
      <c r="B270" s="4" t="s">
        <v>675</v>
      </c>
      <c r="C270" s="5" t="str">
        <f t="shared" si="34"/>
        <v>04</v>
      </c>
      <c r="D270" s="5" t="str">
        <f t="shared" si="35"/>
        <v>05</v>
      </c>
      <c r="E270" s="4" t="s">
        <v>30</v>
      </c>
      <c r="F270" s="4" t="s">
        <v>31</v>
      </c>
      <c r="G270" s="8" t="str">
        <f t="shared" si="36"/>
        <v>04/05/2021</v>
      </c>
      <c r="H270" s="4" t="s">
        <v>1</v>
      </c>
      <c r="I270" s="4" t="s">
        <v>0</v>
      </c>
      <c r="J270" s="7" t="s">
        <v>676</v>
      </c>
      <c r="K270" s="7" t="s">
        <v>45</v>
      </c>
      <c r="L270" s="9" t="str">
        <f>+VLOOKUP(K270,'[1]BASE DE PROVEEDORES'!$A:$B,2,0)</f>
        <v>JOSE RICARDO ANTONIO MOLINA</v>
      </c>
      <c r="M270" s="10">
        <f>7.57+3.79</f>
        <v>11.36</v>
      </c>
      <c r="N270" s="7" t="s">
        <v>2</v>
      </c>
      <c r="O270" s="7" t="s">
        <v>2</v>
      </c>
      <c r="P270" s="10">
        <v>87.8</v>
      </c>
      <c r="Q270" s="29" t="s">
        <v>2</v>
      </c>
      <c r="R270" s="32" t="s">
        <v>2</v>
      </c>
      <c r="S270" s="32" t="s">
        <v>2</v>
      </c>
      <c r="T270" s="29">
        <v>11.41</v>
      </c>
      <c r="U270" s="29">
        <f t="shared" si="37"/>
        <v>110.57</v>
      </c>
      <c r="V270" s="4" t="s">
        <v>3</v>
      </c>
      <c r="X270" s="3">
        <f t="shared" si="38"/>
        <v>11.41</v>
      </c>
    </row>
    <row r="271" spans="1:24" hidden="1" x14ac:dyDescent="0.25">
      <c r="A271" s="7" t="s">
        <v>651</v>
      </c>
      <c r="B271" s="4" t="s">
        <v>675</v>
      </c>
      <c r="C271" s="5" t="str">
        <f t="shared" si="34"/>
        <v>04</v>
      </c>
      <c r="D271" s="5" t="str">
        <f t="shared" si="35"/>
        <v>05</v>
      </c>
      <c r="E271" s="4" t="s">
        <v>30</v>
      </c>
      <c r="F271" s="4" t="s">
        <v>31</v>
      </c>
      <c r="G271" s="8" t="str">
        <f t="shared" si="36"/>
        <v>04/05/2021</v>
      </c>
      <c r="H271" s="4" t="s">
        <v>1</v>
      </c>
      <c r="I271" s="4" t="s">
        <v>0</v>
      </c>
      <c r="J271" s="7" t="s">
        <v>761</v>
      </c>
      <c r="K271" s="7" t="s">
        <v>762</v>
      </c>
      <c r="L271" s="9" t="str">
        <f>+VLOOKUP(K271,'[1]BASE DE PROVEEDORES'!$A:$B,2,0)</f>
        <v>INVERSIONES ACEITUNO S.A DE C.V.</v>
      </c>
      <c r="M271" s="10">
        <v>0</v>
      </c>
      <c r="N271" s="7" t="s">
        <v>2</v>
      </c>
      <c r="O271" s="7" t="s">
        <v>2</v>
      </c>
      <c r="P271" s="10">
        <v>309.73</v>
      </c>
      <c r="Q271" s="29" t="s">
        <v>2</v>
      </c>
      <c r="R271" s="32" t="s">
        <v>2</v>
      </c>
      <c r="S271" s="32" t="s">
        <v>2</v>
      </c>
      <c r="T271" s="29">
        <v>40.26</v>
      </c>
      <c r="U271" s="29">
        <f t="shared" si="37"/>
        <v>349.99</v>
      </c>
      <c r="V271" s="4" t="s">
        <v>3</v>
      </c>
      <c r="X271" s="3">
        <f t="shared" si="38"/>
        <v>40.26</v>
      </c>
    </row>
    <row r="272" spans="1:24" hidden="1" x14ac:dyDescent="0.25">
      <c r="A272" s="7" t="s">
        <v>651</v>
      </c>
      <c r="B272" s="4" t="s">
        <v>675</v>
      </c>
      <c r="C272" s="5" t="str">
        <f t="shared" si="34"/>
        <v>04</v>
      </c>
      <c r="D272" s="5" t="str">
        <f t="shared" si="35"/>
        <v>05</v>
      </c>
      <c r="E272" s="4" t="s">
        <v>30</v>
      </c>
      <c r="F272" s="4" t="s">
        <v>31</v>
      </c>
      <c r="G272" s="8" t="str">
        <f t="shared" si="36"/>
        <v>04/05/2021</v>
      </c>
      <c r="H272" s="4" t="s">
        <v>1</v>
      </c>
      <c r="I272" s="4" t="s">
        <v>0</v>
      </c>
      <c r="J272" s="7" t="s">
        <v>776</v>
      </c>
      <c r="K272" s="7" t="s">
        <v>770</v>
      </c>
      <c r="L272" s="9" t="str">
        <f>+VLOOKUP(K272,'[1]BASE DE PROVEEDORES'!$A:$B,2,0)</f>
        <v>RAFAEL RENE CANALES PINAUD</v>
      </c>
      <c r="M272" s="10">
        <f>5.82+2.91</f>
        <v>8.73</v>
      </c>
      <c r="N272" s="7" t="s">
        <v>2</v>
      </c>
      <c r="O272" s="7" t="s">
        <v>2</v>
      </c>
      <c r="P272" s="10">
        <v>67.489999999999995</v>
      </c>
      <c r="Q272" s="29" t="s">
        <v>2</v>
      </c>
      <c r="R272" s="32" t="s">
        <v>2</v>
      </c>
      <c r="S272" s="32" t="s">
        <v>2</v>
      </c>
      <c r="T272" s="29">
        <v>8.77</v>
      </c>
      <c r="U272" s="29">
        <f t="shared" si="37"/>
        <v>84.99</v>
      </c>
      <c r="V272" s="4" t="s">
        <v>3</v>
      </c>
      <c r="X272" s="3">
        <f t="shared" si="38"/>
        <v>8.77</v>
      </c>
    </row>
    <row r="273" spans="1:24" hidden="1" x14ac:dyDescent="0.25">
      <c r="A273" s="7" t="s">
        <v>651</v>
      </c>
      <c r="B273" s="4" t="s">
        <v>675</v>
      </c>
      <c r="C273" s="5" t="str">
        <f t="shared" si="34"/>
        <v>04</v>
      </c>
      <c r="D273" s="5" t="str">
        <f t="shared" si="35"/>
        <v>05</v>
      </c>
      <c r="E273" s="4" t="s">
        <v>30</v>
      </c>
      <c r="F273" s="4" t="s">
        <v>31</v>
      </c>
      <c r="G273" s="8" t="str">
        <f t="shared" si="36"/>
        <v>04/05/2021</v>
      </c>
      <c r="H273" s="4" t="s">
        <v>1</v>
      </c>
      <c r="I273" s="4" t="s">
        <v>0</v>
      </c>
      <c r="J273" s="7" t="s">
        <v>819</v>
      </c>
      <c r="K273" s="7" t="s">
        <v>172</v>
      </c>
      <c r="L273" s="9" t="str">
        <f>+VLOOKUP(K273,'[1]BASE DE PROVEEDORES'!$A:$B,2,0)</f>
        <v>MANEJO INTEGRAL DE DESECHOS SOLIDOS SEM DE C.V.</v>
      </c>
      <c r="M273" s="10">
        <v>0</v>
      </c>
      <c r="N273" s="7" t="s">
        <v>2</v>
      </c>
      <c r="O273" s="7" t="s">
        <v>2</v>
      </c>
      <c r="P273" s="10">
        <v>52.22</v>
      </c>
      <c r="Q273" s="29" t="s">
        <v>2</v>
      </c>
      <c r="R273" s="32" t="s">
        <v>2</v>
      </c>
      <c r="S273" s="32" t="s">
        <v>2</v>
      </c>
      <c r="T273" s="29">
        <v>6.79</v>
      </c>
      <c r="U273" s="29">
        <f t="shared" si="37"/>
        <v>59.01</v>
      </c>
      <c r="V273" s="4" t="s">
        <v>3</v>
      </c>
      <c r="X273" s="3">
        <f t="shared" si="38"/>
        <v>6.79</v>
      </c>
    </row>
    <row r="274" spans="1:24" hidden="1" x14ac:dyDescent="0.25">
      <c r="A274" s="7" t="s">
        <v>651</v>
      </c>
      <c r="B274" s="4" t="s">
        <v>675</v>
      </c>
      <c r="C274" s="5" t="str">
        <f t="shared" si="34"/>
        <v>04</v>
      </c>
      <c r="D274" s="5" t="str">
        <f t="shared" si="35"/>
        <v>05</v>
      </c>
      <c r="E274" s="4" t="s">
        <v>30</v>
      </c>
      <c r="F274" s="4" t="s">
        <v>31</v>
      </c>
      <c r="G274" s="8" t="str">
        <f t="shared" si="36"/>
        <v>04/05/2021</v>
      </c>
      <c r="H274" s="4" t="s">
        <v>1</v>
      </c>
      <c r="I274" s="4" t="s">
        <v>0</v>
      </c>
      <c r="J274" s="7" t="s">
        <v>827</v>
      </c>
      <c r="K274" s="7" t="s">
        <v>172</v>
      </c>
      <c r="L274" s="9" t="str">
        <f>+VLOOKUP(K274,'[1]BASE DE PROVEEDORES'!$A:$B,2,0)</f>
        <v>MANEJO INTEGRAL DE DESECHOS SOLIDOS SEM DE C.V.</v>
      </c>
      <c r="M274" s="10">
        <v>0</v>
      </c>
      <c r="N274" s="7" t="s">
        <v>2</v>
      </c>
      <c r="O274" s="7" t="s">
        <v>2</v>
      </c>
      <c r="P274" s="10">
        <v>58.51</v>
      </c>
      <c r="Q274" s="29" t="s">
        <v>2</v>
      </c>
      <c r="R274" s="32" t="s">
        <v>2</v>
      </c>
      <c r="S274" s="32" t="s">
        <v>2</v>
      </c>
      <c r="T274" s="29">
        <v>7.61</v>
      </c>
      <c r="U274" s="29">
        <f t="shared" si="37"/>
        <v>66.12</v>
      </c>
      <c r="V274" s="4" t="s">
        <v>3</v>
      </c>
      <c r="X274" s="3">
        <f t="shared" si="38"/>
        <v>7.61</v>
      </c>
    </row>
    <row r="275" spans="1:24" hidden="1" x14ac:dyDescent="0.25">
      <c r="A275" s="7" t="s">
        <v>651</v>
      </c>
      <c r="B275" s="4" t="s">
        <v>740</v>
      </c>
      <c r="C275" s="5" t="str">
        <f t="shared" si="34"/>
        <v>05</v>
      </c>
      <c r="D275" s="5" t="str">
        <f t="shared" si="35"/>
        <v>05</v>
      </c>
      <c r="E275" s="4" t="s">
        <v>30</v>
      </c>
      <c r="F275" s="4" t="s">
        <v>31</v>
      </c>
      <c r="G275" s="8" t="str">
        <f t="shared" si="36"/>
        <v>05/05/2021</v>
      </c>
      <c r="H275" s="4" t="s">
        <v>1</v>
      </c>
      <c r="I275" s="4" t="s">
        <v>0</v>
      </c>
      <c r="J275" s="7" t="s">
        <v>741</v>
      </c>
      <c r="K275" s="7" t="s">
        <v>28</v>
      </c>
      <c r="L275" s="9" t="str">
        <f>+VLOOKUP(K275,'[1]BASE DE PROVEEDORES'!$A:$B,2,0)</f>
        <v xml:space="preserve">ACTIVIDADES PETROLERAS DE EL SALVADOR S.A DE C.V </v>
      </c>
      <c r="M275" s="10">
        <f>2.26+1.13</f>
        <v>3.3899999999999997</v>
      </c>
      <c r="N275" s="7" t="s">
        <v>2</v>
      </c>
      <c r="O275" s="7" t="s">
        <v>2</v>
      </c>
      <c r="P275" s="10">
        <v>26.24</v>
      </c>
      <c r="Q275" s="29" t="s">
        <v>2</v>
      </c>
      <c r="R275" s="32" t="s">
        <v>2</v>
      </c>
      <c r="S275" s="32" t="s">
        <v>2</v>
      </c>
      <c r="T275" s="29">
        <v>3.41</v>
      </c>
      <c r="U275" s="29">
        <f t="shared" si="37"/>
        <v>33.04</v>
      </c>
      <c r="V275" s="4" t="s">
        <v>3</v>
      </c>
      <c r="X275" s="3">
        <f t="shared" si="38"/>
        <v>3.41</v>
      </c>
    </row>
    <row r="276" spans="1:24" hidden="1" x14ac:dyDescent="0.25">
      <c r="A276" s="7" t="s">
        <v>651</v>
      </c>
      <c r="B276" s="4" t="s">
        <v>740</v>
      </c>
      <c r="C276" s="5" t="str">
        <f t="shared" ref="C276:C307" si="39">+LEFT(B276,2)</f>
        <v>05</v>
      </c>
      <c r="D276" s="5" t="str">
        <f t="shared" ref="D276:D307" si="40">+RIGHT(B276,2)</f>
        <v>05</v>
      </c>
      <c r="E276" s="4" t="s">
        <v>30</v>
      </c>
      <c r="F276" s="4" t="s">
        <v>31</v>
      </c>
      <c r="G276" s="8" t="str">
        <f t="shared" ref="G276:G307" si="41">+C276&amp;F276&amp;D276&amp;F276&amp;E276</f>
        <v>05/05/2021</v>
      </c>
      <c r="H276" s="4" t="s">
        <v>1</v>
      </c>
      <c r="I276" s="4" t="s">
        <v>0</v>
      </c>
      <c r="J276" s="7" t="s">
        <v>778</v>
      </c>
      <c r="K276" s="7" t="s">
        <v>126</v>
      </c>
      <c r="L276" s="9" t="str">
        <f>+VLOOKUP(K276,'[1]BASE DE PROVEEDORES'!$A:$B,2,0)</f>
        <v>REPUESTOS IZALCO S.A DE C.V.</v>
      </c>
      <c r="M276" s="10">
        <v>0</v>
      </c>
      <c r="N276" s="7" t="s">
        <v>2</v>
      </c>
      <c r="O276" s="7" t="s">
        <v>2</v>
      </c>
      <c r="P276" s="10">
        <v>20</v>
      </c>
      <c r="Q276" s="29" t="s">
        <v>2</v>
      </c>
      <c r="R276" s="32" t="s">
        <v>2</v>
      </c>
      <c r="S276" s="32" t="s">
        <v>2</v>
      </c>
      <c r="T276" s="29">
        <v>2.6</v>
      </c>
      <c r="U276" s="29">
        <f t="shared" ref="U276:U307" si="42">+M276+P276+T276</f>
        <v>22.6</v>
      </c>
      <c r="V276" s="4" t="s">
        <v>3</v>
      </c>
      <c r="X276" s="3">
        <f t="shared" ref="X276:X307" si="43">+ROUND(T276,2)</f>
        <v>2.6</v>
      </c>
    </row>
    <row r="277" spans="1:24" hidden="1" x14ac:dyDescent="0.25">
      <c r="A277" s="7" t="s">
        <v>651</v>
      </c>
      <c r="B277" s="4" t="s">
        <v>740</v>
      </c>
      <c r="C277" s="5" t="str">
        <f t="shared" si="39"/>
        <v>05</v>
      </c>
      <c r="D277" s="5" t="str">
        <f t="shared" si="40"/>
        <v>05</v>
      </c>
      <c r="E277" s="4" t="s">
        <v>30</v>
      </c>
      <c r="F277" s="4" t="s">
        <v>31</v>
      </c>
      <c r="G277" s="8" t="str">
        <f t="shared" si="41"/>
        <v>05/05/2021</v>
      </c>
      <c r="H277" s="4" t="s">
        <v>1</v>
      </c>
      <c r="I277" s="4" t="s">
        <v>0</v>
      </c>
      <c r="J277" s="7" t="s">
        <v>779</v>
      </c>
      <c r="K277" s="7" t="s">
        <v>126</v>
      </c>
      <c r="L277" s="9" t="str">
        <f>+VLOOKUP(K277,'[1]BASE DE PROVEEDORES'!$A:$B,2,0)</f>
        <v>REPUESTOS IZALCO S.A DE C.V.</v>
      </c>
      <c r="M277" s="10">
        <v>0</v>
      </c>
      <c r="N277" s="7" t="s">
        <v>2</v>
      </c>
      <c r="O277" s="7" t="s">
        <v>2</v>
      </c>
      <c r="P277" s="10">
        <v>8.32</v>
      </c>
      <c r="Q277" s="29" t="s">
        <v>2</v>
      </c>
      <c r="R277" s="32" t="s">
        <v>2</v>
      </c>
      <c r="S277" s="32" t="s">
        <v>2</v>
      </c>
      <c r="T277" s="29">
        <v>1.08</v>
      </c>
      <c r="U277" s="29">
        <f t="shared" si="42"/>
        <v>9.4</v>
      </c>
      <c r="V277" s="4" t="s">
        <v>3</v>
      </c>
      <c r="X277" s="3">
        <f t="shared" si="43"/>
        <v>1.08</v>
      </c>
    </row>
    <row r="278" spans="1:24" hidden="1" x14ac:dyDescent="0.25">
      <c r="A278" s="7" t="s">
        <v>651</v>
      </c>
      <c r="B278" s="4" t="s">
        <v>740</v>
      </c>
      <c r="C278" s="5" t="str">
        <f t="shared" si="39"/>
        <v>05</v>
      </c>
      <c r="D278" s="5" t="str">
        <f t="shared" si="40"/>
        <v>05</v>
      </c>
      <c r="E278" s="4" t="s">
        <v>30</v>
      </c>
      <c r="F278" s="4" t="s">
        <v>31</v>
      </c>
      <c r="G278" s="8" t="str">
        <f t="shared" si="41"/>
        <v>05/05/2021</v>
      </c>
      <c r="H278" s="4" t="s">
        <v>1</v>
      </c>
      <c r="I278" s="4" t="s">
        <v>0</v>
      </c>
      <c r="J278" s="7" t="s">
        <v>694</v>
      </c>
      <c r="K278" s="7" t="s">
        <v>172</v>
      </c>
      <c r="L278" s="9" t="str">
        <f>+VLOOKUP(K278,'[1]BASE DE PROVEEDORES'!$A:$B,2,0)</f>
        <v>MANEJO INTEGRAL DE DESECHOS SOLIDOS SEM DE C.V.</v>
      </c>
      <c r="M278" s="10">
        <v>0</v>
      </c>
      <c r="N278" s="7" t="s">
        <v>2</v>
      </c>
      <c r="O278" s="7" t="s">
        <v>2</v>
      </c>
      <c r="P278" s="10">
        <v>75.53</v>
      </c>
      <c r="Q278" s="29" t="s">
        <v>2</v>
      </c>
      <c r="R278" s="32" t="s">
        <v>2</v>
      </c>
      <c r="S278" s="32" t="s">
        <v>2</v>
      </c>
      <c r="T278" s="29">
        <v>9.82</v>
      </c>
      <c r="U278" s="29">
        <f t="shared" si="42"/>
        <v>85.35</v>
      </c>
      <c r="V278" s="4" t="s">
        <v>3</v>
      </c>
      <c r="X278" s="3">
        <f t="shared" si="43"/>
        <v>9.82</v>
      </c>
    </row>
    <row r="279" spans="1:24" hidden="1" x14ac:dyDescent="0.25">
      <c r="A279" s="7" t="s">
        <v>651</v>
      </c>
      <c r="B279" s="4" t="s">
        <v>655</v>
      </c>
      <c r="C279" s="5" t="str">
        <f t="shared" si="39"/>
        <v>06</v>
      </c>
      <c r="D279" s="5" t="str">
        <f t="shared" si="40"/>
        <v>05</v>
      </c>
      <c r="E279" s="4" t="s">
        <v>30</v>
      </c>
      <c r="F279" s="4" t="s">
        <v>31</v>
      </c>
      <c r="G279" s="8" t="str">
        <f t="shared" si="41"/>
        <v>06/05/2021</v>
      </c>
      <c r="H279" s="4" t="s">
        <v>1</v>
      </c>
      <c r="I279" s="4" t="s">
        <v>0</v>
      </c>
      <c r="J279" s="7" t="s">
        <v>677</v>
      </c>
      <c r="K279" s="7" t="s">
        <v>45</v>
      </c>
      <c r="L279" s="9" t="str">
        <f>+VLOOKUP(K279,'[1]BASE DE PROVEEDORES'!$A:$B,2,0)</f>
        <v>JOSE RICARDO ANTONIO MOLINA</v>
      </c>
      <c r="M279" s="10">
        <f>5.94+2.97</f>
        <v>8.91</v>
      </c>
      <c r="N279" s="7" t="s">
        <v>2</v>
      </c>
      <c r="O279" s="7" t="s">
        <v>2</v>
      </c>
      <c r="P279" s="10">
        <v>68.900000000000006</v>
      </c>
      <c r="Q279" s="29" t="s">
        <v>2</v>
      </c>
      <c r="R279" s="32" t="s">
        <v>2</v>
      </c>
      <c r="S279" s="32" t="s">
        <v>2</v>
      </c>
      <c r="T279" s="29">
        <v>8.9600000000000009</v>
      </c>
      <c r="U279" s="29">
        <f t="shared" si="42"/>
        <v>86.77000000000001</v>
      </c>
      <c r="V279" s="4" t="s">
        <v>3</v>
      </c>
      <c r="X279" s="3">
        <f t="shared" si="43"/>
        <v>8.9600000000000009</v>
      </c>
    </row>
    <row r="280" spans="1:24" hidden="1" x14ac:dyDescent="0.25">
      <c r="A280" s="7" t="s">
        <v>651</v>
      </c>
      <c r="B280" s="4" t="s">
        <v>655</v>
      </c>
      <c r="C280" s="5" t="str">
        <f t="shared" si="39"/>
        <v>06</v>
      </c>
      <c r="D280" s="5" t="str">
        <f t="shared" si="40"/>
        <v>05</v>
      </c>
      <c r="E280" s="4" t="s">
        <v>30</v>
      </c>
      <c r="F280" s="4" t="s">
        <v>31</v>
      </c>
      <c r="G280" s="8" t="str">
        <f t="shared" si="41"/>
        <v>06/05/2021</v>
      </c>
      <c r="H280" s="4" t="s">
        <v>1</v>
      </c>
      <c r="I280" s="4" t="s">
        <v>0</v>
      </c>
      <c r="J280" s="7" t="s">
        <v>678</v>
      </c>
      <c r="K280" s="7" t="s">
        <v>45</v>
      </c>
      <c r="L280" s="9" t="str">
        <f>+VLOOKUP(K280,'[1]BASE DE PROVEEDORES'!$A:$B,2,0)</f>
        <v>JOSE RICARDO ANTONIO MOLINA</v>
      </c>
      <c r="M280" s="10">
        <f>8.01+4.01</f>
        <v>12.02</v>
      </c>
      <c r="N280" s="7" t="s">
        <v>2</v>
      </c>
      <c r="O280" s="7" t="s">
        <v>2</v>
      </c>
      <c r="P280" s="10">
        <v>92.9</v>
      </c>
      <c r="Q280" s="29" t="s">
        <v>2</v>
      </c>
      <c r="R280" s="32" t="s">
        <v>2</v>
      </c>
      <c r="S280" s="32" t="s">
        <v>2</v>
      </c>
      <c r="T280" s="29">
        <v>12.08</v>
      </c>
      <c r="U280" s="29">
        <f t="shared" si="42"/>
        <v>117</v>
      </c>
      <c r="V280" s="4" t="s">
        <v>3</v>
      </c>
      <c r="X280" s="3">
        <f t="shared" si="43"/>
        <v>12.08</v>
      </c>
    </row>
    <row r="281" spans="1:24" hidden="1" x14ac:dyDescent="0.25">
      <c r="A281" s="7" t="s">
        <v>651</v>
      </c>
      <c r="B281" s="4" t="s">
        <v>655</v>
      </c>
      <c r="C281" s="5" t="str">
        <f t="shared" si="39"/>
        <v>06</v>
      </c>
      <c r="D281" s="5" t="str">
        <f t="shared" si="40"/>
        <v>05</v>
      </c>
      <c r="E281" s="4" t="s">
        <v>30</v>
      </c>
      <c r="F281" s="4" t="s">
        <v>31</v>
      </c>
      <c r="G281" s="8" t="str">
        <f t="shared" si="41"/>
        <v>06/05/2021</v>
      </c>
      <c r="H281" s="4" t="s">
        <v>1</v>
      </c>
      <c r="I281" s="4" t="s">
        <v>0</v>
      </c>
      <c r="J281" s="7" t="s">
        <v>763</v>
      </c>
      <c r="K281" s="7" t="s">
        <v>140</v>
      </c>
      <c r="L281" s="9" t="str">
        <f>+VLOOKUP(K281,'[1]BASE DE PROVEEDORES'!$A:$B,2,0)</f>
        <v>TALLERES SOLDATOR S.A DE C.V.</v>
      </c>
      <c r="M281" s="10">
        <v>0</v>
      </c>
      <c r="N281" s="7" t="s">
        <v>2</v>
      </c>
      <c r="O281" s="7" t="s">
        <v>2</v>
      </c>
      <c r="P281" s="10">
        <v>50</v>
      </c>
      <c r="Q281" s="29" t="s">
        <v>2</v>
      </c>
      <c r="R281" s="32" t="s">
        <v>2</v>
      </c>
      <c r="S281" s="32" t="s">
        <v>2</v>
      </c>
      <c r="T281" s="29">
        <v>6.5</v>
      </c>
      <c r="U281" s="29">
        <f t="shared" si="42"/>
        <v>56.5</v>
      </c>
      <c r="V281" s="4" t="s">
        <v>3</v>
      </c>
      <c r="X281" s="3">
        <f t="shared" si="43"/>
        <v>6.5</v>
      </c>
    </row>
    <row r="282" spans="1:24" hidden="1" x14ac:dyDescent="0.25">
      <c r="A282" s="7" t="s">
        <v>651</v>
      </c>
      <c r="B282" s="4" t="s">
        <v>655</v>
      </c>
      <c r="C282" s="5" t="str">
        <f t="shared" si="39"/>
        <v>06</v>
      </c>
      <c r="D282" s="5" t="str">
        <f t="shared" si="40"/>
        <v>05</v>
      </c>
      <c r="E282" s="4" t="s">
        <v>30</v>
      </c>
      <c r="F282" s="4" t="s">
        <v>31</v>
      </c>
      <c r="G282" s="8" t="str">
        <f t="shared" si="41"/>
        <v>06/05/2021</v>
      </c>
      <c r="H282" s="4" t="s">
        <v>1</v>
      </c>
      <c r="I282" s="4" t="s">
        <v>0</v>
      </c>
      <c r="J282" s="7" t="s">
        <v>791</v>
      </c>
      <c r="K282" s="7" t="s">
        <v>750</v>
      </c>
      <c r="L282" s="9" t="str">
        <f>+VLOOKUP(K282,'[1]BASE DE PROVEEDORES'!$A:$B,2,0)</f>
        <v>CALLEJA S.A DE C.V.</v>
      </c>
      <c r="M282" s="10">
        <v>0</v>
      </c>
      <c r="N282" s="7" t="s">
        <v>2</v>
      </c>
      <c r="O282" s="7" t="s">
        <v>2</v>
      </c>
      <c r="P282" s="10">
        <v>6.19</v>
      </c>
      <c r="Q282" s="29" t="s">
        <v>2</v>
      </c>
      <c r="R282" s="32" t="s">
        <v>2</v>
      </c>
      <c r="S282" s="32" t="s">
        <v>2</v>
      </c>
      <c r="T282" s="29">
        <v>0.8</v>
      </c>
      <c r="U282" s="29">
        <f t="shared" si="42"/>
        <v>6.99</v>
      </c>
      <c r="V282" s="4" t="s">
        <v>3</v>
      </c>
      <c r="X282" s="3">
        <f t="shared" si="43"/>
        <v>0.8</v>
      </c>
    </row>
    <row r="283" spans="1:24" hidden="1" x14ac:dyDescent="0.25">
      <c r="A283" s="7" t="s">
        <v>651</v>
      </c>
      <c r="B283" s="4" t="s">
        <v>655</v>
      </c>
      <c r="C283" s="5" t="str">
        <f t="shared" si="39"/>
        <v>06</v>
      </c>
      <c r="D283" s="5" t="str">
        <f t="shared" si="40"/>
        <v>05</v>
      </c>
      <c r="E283" s="4" t="s">
        <v>30</v>
      </c>
      <c r="F283" s="4" t="s">
        <v>31</v>
      </c>
      <c r="G283" s="8" t="str">
        <f t="shared" si="41"/>
        <v>06/05/2021</v>
      </c>
      <c r="H283" s="4" t="s">
        <v>1</v>
      </c>
      <c r="I283" s="4" t="s">
        <v>0</v>
      </c>
      <c r="J283" s="7" t="s">
        <v>808</v>
      </c>
      <c r="K283" s="7" t="s">
        <v>172</v>
      </c>
      <c r="L283" s="9" t="str">
        <f>+VLOOKUP(K283,'[1]BASE DE PROVEEDORES'!$A:$B,2,0)</f>
        <v>MANEJO INTEGRAL DE DESECHOS SOLIDOS SEM DE C.V.</v>
      </c>
      <c r="M283" s="10">
        <v>0</v>
      </c>
      <c r="N283" s="7" t="s">
        <v>2</v>
      </c>
      <c r="O283" s="7" t="s">
        <v>2</v>
      </c>
      <c r="P283" s="10">
        <v>28.08</v>
      </c>
      <c r="Q283" s="29" t="s">
        <v>2</v>
      </c>
      <c r="R283" s="32" t="s">
        <v>2</v>
      </c>
      <c r="S283" s="32" t="s">
        <v>2</v>
      </c>
      <c r="T283" s="29">
        <v>3.65</v>
      </c>
      <c r="U283" s="29">
        <f t="shared" si="42"/>
        <v>31.729999999999997</v>
      </c>
      <c r="V283" s="4" t="s">
        <v>3</v>
      </c>
      <c r="X283" s="3">
        <f t="shared" si="43"/>
        <v>3.65</v>
      </c>
    </row>
    <row r="284" spans="1:24" hidden="1" x14ac:dyDescent="0.25">
      <c r="A284" s="7" t="s">
        <v>651</v>
      </c>
      <c r="B284" s="4" t="s">
        <v>655</v>
      </c>
      <c r="C284" s="5" t="str">
        <f t="shared" si="39"/>
        <v>06</v>
      </c>
      <c r="D284" s="5" t="str">
        <f t="shared" si="40"/>
        <v>05</v>
      </c>
      <c r="E284" s="4" t="s">
        <v>30</v>
      </c>
      <c r="F284" s="4" t="s">
        <v>31</v>
      </c>
      <c r="G284" s="8" t="str">
        <f t="shared" si="41"/>
        <v>06/05/2021</v>
      </c>
      <c r="H284" s="4" t="s">
        <v>1</v>
      </c>
      <c r="I284" s="4" t="s">
        <v>0</v>
      </c>
      <c r="J284" s="7" t="s">
        <v>836</v>
      </c>
      <c r="K284" s="7" t="s">
        <v>172</v>
      </c>
      <c r="L284" s="9" t="str">
        <f>+VLOOKUP(K284,'[1]BASE DE PROVEEDORES'!$A:$B,2,0)</f>
        <v>MANEJO INTEGRAL DE DESECHOS SOLIDOS SEM DE C.V.</v>
      </c>
      <c r="M284" s="10">
        <v>0</v>
      </c>
      <c r="N284" s="7" t="s">
        <v>2</v>
      </c>
      <c r="O284" s="7" t="s">
        <v>2</v>
      </c>
      <c r="P284" s="10">
        <v>28.08</v>
      </c>
      <c r="Q284" s="29" t="s">
        <v>2</v>
      </c>
      <c r="R284" s="32" t="s">
        <v>2</v>
      </c>
      <c r="S284" s="32" t="s">
        <v>2</v>
      </c>
      <c r="T284" s="29">
        <v>3.65</v>
      </c>
      <c r="U284" s="29">
        <f t="shared" si="42"/>
        <v>31.729999999999997</v>
      </c>
      <c r="V284" s="4" t="s">
        <v>3</v>
      </c>
      <c r="X284" s="3">
        <f t="shared" si="43"/>
        <v>3.65</v>
      </c>
    </row>
    <row r="285" spans="1:24" hidden="1" x14ac:dyDescent="0.25">
      <c r="A285" s="7" t="s">
        <v>651</v>
      </c>
      <c r="B285" s="4" t="s">
        <v>738</v>
      </c>
      <c r="C285" s="5" t="str">
        <f t="shared" si="39"/>
        <v>07</v>
      </c>
      <c r="D285" s="5" t="str">
        <f t="shared" si="40"/>
        <v>05</v>
      </c>
      <c r="E285" s="4" t="s">
        <v>30</v>
      </c>
      <c r="F285" s="4" t="s">
        <v>31</v>
      </c>
      <c r="G285" s="8" t="str">
        <f t="shared" si="41"/>
        <v>07/05/2021</v>
      </c>
      <c r="H285" s="4" t="s">
        <v>1</v>
      </c>
      <c r="I285" s="4" t="s">
        <v>0</v>
      </c>
      <c r="J285" s="7" t="s">
        <v>739</v>
      </c>
      <c r="K285" s="7" t="s">
        <v>28</v>
      </c>
      <c r="L285" s="9" t="str">
        <f>+VLOOKUP(K285,'[1]BASE DE PROVEEDORES'!$A:$B,2,0)</f>
        <v xml:space="preserve">ACTIVIDADES PETROLERAS DE EL SALVADOR S.A DE C.V </v>
      </c>
      <c r="M285" s="10">
        <f>1.7+0.85</f>
        <v>2.5499999999999998</v>
      </c>
      <c r="N285" s="7" t="s">
        <v>2</v>
      </c>
      <c r="O285" s="7" t="s">
        <v>2</v>
      </c>
      <c r="P285" s="10">
        <v>19.739999999999998</v>
      </c>
      <c r="Q285" s="29" t="s">
        <v>2</v>
      </c>
      <c r="R285" s="32" t="s">
        <v>2</v>
      </c>
      <c r="S285" s="32" t="s">
        <v>2</v>
      </c>
      <c r="T285" s="29">
        <v>2.57</v>
      </c>
      <c r="U285" s="29">
        <f t="shared" si="42"/>
        <v>24.86</v>
      </c>
      <c r="V285" s="4" t="s">
        <v>3</v>
      </c>
      <c r="X285" s="3">
        <f t="shared" si="43"/>
        <v>2.57</v>
      </c>
    </row>
    <row r="286" spans="1:24" hidden="1" x14ac:dyDescent="0.25">
      <c r="A286" s="7" t="s">
        <v>651</v>
      </c>
      <c r="B286" s="4" t="s">
        <v>738</v>
      </c>
      <c r="C286" s="5" t="str">
        <f t="shared" si="39"/>
        <v>07</v>
      </c>
      <c r="D286" s="5" t="str">
        <f t="shared" si="40"/>
        <v>05</v>
      </c>
      <c r="E286" s="4" t="s">
        <v>30</v>
      </c>
      <c r="F286" s="4" t="s">
        <v>31</v>
      </c>
      <c r="G286" s="8" t="str">
        <f t="shared" si="41"/>
        <v>07/05/2021</v>
      </c>
      <c r="H286" s="4" t="s">
        <v>1</v>
      </c>
      <c r="I286" s="4" t="s">
        <v>0</v>
      </c>
      <c r="J286" s="7" t="s">
        <v>795</v>
      </c>
      <c r="K286" s="7" t="s">
        <v>20</v>
      </c>
      <c r="L286" s="9" t="str">
        <f>+VLOOKUP(K286,'[1]BASE DE PROVEEDORES'!$A:$B,2,0)</f>
        <v>ALMACENES VIDRI, S.A DE C.V.</v>
      </c>
      <c r="M286" s="10">
        <v>0</v>
      </c>
      <c r="N286" s="7" t="s">
        <v>2</v>
      </c>
      <c r="O286" s="7" t="s">
        <v>2</v>
      </c>
      <c r="P286" s="10">
        <v>22.52</v>
      </c>
      <c r="Q286" s="29" t="s">
        <v>2</v>
      </c>
      <c r="R286" s="32" t="s">
        <v>2</v>
      </c>
      <c r="S286" s="32" t="s">
        <v>2</v>
      </c>
      <c r="T286" s="29">
        <v>2.93</v>
      </c>
      <c r="U286" s="29">
        <f t="shared" si="42"/>
        <v>25.45</v>
      </c>
      <c r="V286" s="4" t="s">
        <v>3</v>
      </c>
      <c r="X286" s="3">
        <f t="shared" si="43"/>
        <v>2.93</v>
      </c>
    </row>
    <row r="287" spans="1:24" hidden="1" x14ac:dyDescent="0.25">
      <c r="A287" s="7" t="s">
        <v>651</v>
      </c>
      <c r="B287" s="4" t="s">
        <v>738</v>
      </c>
      <c r="C287" s="5" t="str">
        <f t="shared" si="39"/>
        <v>07</v>
      </c>
      <c r="D287" s="5" t="str">
        <f t="shared" si="40"/>
        <v>05</v>
      </c>
      <c r="E287" s="4" t="s">
        <v>30</v>
      </c>
      <c r="F287" s="4" t="s">
        <v>31</v>
      </c>
      <c r="G287" s="8" t="str">
        <f t="shared" si="41"/>
        <v>07/05/2021</v>
      </c>
      <c r="H287" s="4" t="s">
        <v>1</v>
      </c>
      <c r="I287" s="4" t="s">
        <v>0</v>
      </c>
      <c r="J287" s="7" t="s">
        <v>820</v>
      </c>
      <c r="K287" s="7" t="s">
        <v>172</v>
      </c>
      <c r="L287" s="9" t="str">
        <f>+VLOOKUP(K287,'[1]BASE DE PROVEEDORES'!$A:$B,2,0)</f>
        <v>MANEJO INTEGRAL DE DESECHOS SOLIDOS SEM DE C.V.</v>
      </c>
      <c r="M287" s="10">
        <v>0</v>
      </c>
      <c r="N287" s="7" t="s">
        <v>2</v>
      </c>
      <c r="O287" s="7" t="s">
        <v>2</v>
      </c>
      <c r="P287" s="10">
        <v>53.63</v>
      </c>
      <c r="Q287" s="29" t="s">
        <v>2</v>
      </c>
      <c r="R287" s="32" t="s">
        <v>2</v>
      </c>
      <c r="S287" s="32" t="s">
        <v>2</v>
      </c>
      <c r="T287" s="29">
        <v>6.97</v>
      </c>
      <c r="U287" s="29">
        <f t="shared" si="42"/>
        <v>60.6</v>
      </c>
      <c r="V287" s="4" t="s">
        <v>3</v>
      </c>
      <c r="X287" s="3">
        <f t="shared" si="43"/>
        <v>6.97</v>
      </c>
    </row>
    <row r="288" spans="1:24" hidden="1" x14ac:dyDescent="0.25">
      <c r="A288" s="7" t="s">
        <v>651</v>
      </c>
      <c r="B288" s="4" t="s">
        <v>679</v>
      </c>
      <c r="C288" s="5" t="str">
        <f t="shared" si="39"/>
        <v>08</v>
      </c>
      <c r="D288" s="5" t="str">
        <f t="shared" si="40"/>
        <v>05</v>
      </c>
      <c r="E288" s="4" t="s">
        <v>30</v>
      </c>
      <c r="F288" s="4" t="s">
        <v>31</v>
      </c>
      <c r="G288" s="8" t="str">
        <f t="shared" si="41"/>
        <v>08/05/2021</v>
      </c>
      <c r="H288" s="4" t="s">
        <v>1</v>
      </c>
      <c r="I288" s="4" t="s">
        <v>0</v>
      </c>
      <c r="J288" s="7" t="s">
        <v>680</v>
      </c>
      <c r="K288" s="7" t="s">
        <v>45</v>
      </c>
      <c r="L288" s="9" t="str">
        <f>+VLOOKUP(K288,'[1]BASE DE PROVEEDORES'!$A:$B,2,0)</f>
        <v>JOSE RICARDO ANTONIO MOLINA</v>
      </c>
      <c r="M288" s="10">
        <f>1.71+0.86</f>
        <v>2.57</v>
      </c>
      <c r="N288" s="7" t="s">
        <v>2</v>
      </c>
      <c r="O288" s="7" t="s">
        <v>2</v>
      </c>
      <c r="P288" s="10">
        <v>19.850000000000001</v>
      </c>
      <c r="Q288" s="29" t="s">
        <v>2</v>
      </c>
      <c r="R288" s="32" t="s">
        <v>2</v>
      </c>
      <c r="S288" s="32" t="s">
        <v>2</v>
      </c>
      <c r="T288" s="29">
        <v>2.58</v>
      </c>
      <c r="U288" s="29">
        <f t="shared" si="42"/>
        <v>25</v>
      </c>
      <c r="V288" s="4" t="s">
        <v>3</v>
      </c>
      <c r="X288" s="3">
        <f t="shared" si="43"/>
        <v>2.58</v>
      </c>
    </row>
    <row r="289" spans="1:24" hidden="1" x14ac:dyDescent="0.25">
      <c r="A289" s="7" t="s">
        <v>651</v>
      </c>
      <c r="B289" s="4" t="s">
        <v>679</v>
      </c>
      <c r="C289" s="5" t="str">
        <f t="shared" si="39"/>
        <v>08</v>
      </c>
      <c r="D289" s="5" t="str">
        <f t="shared" si="40"/>
        <v>05</v>
      </c>
      <c r="E289" s="4" t="s">
        <v>30</v>
      </c>
      <c r="F289" s="4" t="s">
        <v>31</v>
      </c>
      <c r="G289" s="8" t="str">
        <f t="shared" si="41"/>
        <v>08/05/2021</v>
      </c>
      <c r="H289" s="4" t="s">
        <v>1</v>
      </c>
      <c r="I289" s="4" t="s">
        <v>0</v>
      </c>
      <c r="J289" s="7" t="s">
        <v>681</v>
      </c>
      <c r="K289" s="7" t="s">
        <v>45</v>
      </c>
      <c r="L289" s="9" t="str">
        <f>+VLOOKUP(K289,'[1]BASE DE PROVEEDORES'!$A:$B,2,0)</f>
        <v>JOSE RICARDO ANTONIO MOLINA</v>
      </c>
      <c r="M289" s="10">
        <f>1.9+0.95</f>
        <v>2.8499999999999996</v>
      </c>
      <c r="N289" s="7" t="s">
        <v>2</v>
      </c>
      <c r="O289" s="7" t="s">
        <v>2</v>
      </c>
      <c r="P289" s="10">
        <v>27.56</v>
      </c>
      <c r="Q289" s="29" t="s">
        <v>2</v>
      </c>
      <c r="R289" s="32" t="s">
        <v>2</v>
      </c>
      <c r="S289" s="32" t="s">
        <v>2</v>
      </c>
      <c r="T289" s="29">
        <v>3.58</v>
      </c>
      <c r="U289" s="29">
        <f t="shared" si="42"/>
        <v>33.989999999999995</v>
      </c>
      <c r="V289" s="4" t="s">
        <v>3</v>
      </c>
      <c r="X289" s="3">
        <f t="shared" si="43"/>
        <v>3.58</v>
      </c>
    </row>
    <row r="290" spans="1:24" hidden="1" x14ac:dyDescent="0.25">
      <c r="A290" s="7" t="s">
        <v>651</v>
      </c>
      <c r="B290" s="4" t="s">
        <v>679</v>
      </c>
      <c r="C290" s="5" t="str">
        <f t="shared" si="39"/>
        <v>08</v>
      </c>
      <c r="D290" s="5" t="str">
        <f t="shared" si="40"/>
        <v>05</v>
      </c>
      <c r="E290" s="4" t="s">
        <v>30</v>
      </c>
      <c r="F290" s="4" t="s">
        <v>31</v>
      </c>
      <c r="G290" s="8" t="str">
        <f t="shared" si="41"/>
        <v>08/05/2021</v>
      </c>
      <c r="H290" s="4" t="s">
        <v>1</v>
      </c>
      <c r="I290" s="4" t="s">
        <v>0</v>
      </c>
      <c r="J290" s="7" t="s">
        <v>682</v>
      </c>
      <c r="K290" s="7" t="s">
        <v>45</v>
      </c>
      <c r="L290" s="9" t="str">
        <f>+VLOOKUP(K290,'[1]BASE DE PROVEEDORES'!$A:$B,2,0)</f>
        <v>JOSE RICARDO ANTONIO MOLINA</v>
      </c>
      <c r="M290" s="10">
        <f>5.71+2.86</f>
        <v>8.57</v>
      </c>
      <c r="N290" s="7" t="s">
        <v>2</v>
      </c>
      <c r="O290" s="7" t="s">
        <v>2</v>
      </c>
      <c r="P290" s="10">
        <v>66.2</v>
      </c>
      <c r="Q290" s="29" t="s">
        <v>2</v>
      </c>
      <c r="R290" s="32" t="s">
        <v>2</v>
      </c>
      <c r="S290" s="32" t="s">
        <v>2</v>
      </c>
      <c r="T290" s="29">
        <v>8.61</v>
      </c>
      <c r="U290" s="29">
        <f t="shared" si="42"/>
        <v>83.38000000000001</v>
      </c>
      <c r="V290" s="4" t="s">
        <v>3</v>
      </c>
      <c r="X290" s="3">
        <f t="shared" si="43"/>
        <v>8.61</v>
      </c>
    </row>
    <row r="291" spans="1:24" hidden="1" x14ac:dyDescent="0.25">
      <c r="A291" s="7" t="s">
        <v>651</v>
      </c>
      <c r="B291" s="4" t="s">
        <v>679</v>
      </c>
      <c r="C291" s="5" t="str">
        <f t="shared" si="39"/>
        <v>08</v>
      </c>
      <c r="D291" s="5" t="str">
        <f t="shared" si="40"/>
        <v>05</v>
      </c>
      <c r="E291" s="4" t="s">
        <v>30</v>
      </c>
      <c r="F291" s="4" t="s">
        <v>31</v>
      </c>
      <c r="G291" s="8" t="str">
        <f t="shared" si="41"/>
        <v>08/05/2021</v>
      </c>
      <c r="H291" s="4" t="s">
        <v>1</v>
      </c>
      <c r="I291" s="4" t="s">
        <v>0</v>
      </c>
      <c r="J291" s="7" t="s">
        <v>737</v>
      </c>
      <c r="K291" s="7" t="s">
        <v>28</v>
      </c>
      <c r="L291" s="9" t="str">
        <f>+VLOOKUP(K291,'[1]BASE DE PROVEEDORES'!$A:$B,2,0)</f>
        <v xml:space="preserve">ACTIVIDADES PETROLERAS DE EL SALVADOR S.A DE C.V </v>
      </c>
      <c r="M291" s="10">
        <f>1.75+0.87</f>
        <v>2.62</v>
      </c>
      <c r="N291" s="7" t="s">
        <v>2</v>
      </c>
      <c r="O291" s="7" t="s">
        <v>2</v>
      </c>
      <c r="P291" s="10">
        <v>24.45</v>
      </c>
      <c r="Q291" s="29" t="s">
        <v>2</v>
      </c>
      <c r="R291" s="32" t="s">
        <v>2</v>
      </c>
      <c r="S291" s="32" t="s">
        <v>2</v>
      </c>
      <c r="T291" s="29">
        <v>3.18</v>
      </c>
      <c r="U291" s="29">
        <f t="shared" si="42"/>
        <v>30.25</v>
      </c>
      <c r="V291" s="4" t="s">
        <v>3</v>
      </c>
      <c r="X291" s="3">
        <f t="shared" si="43"/>
        <v>3.18</v>
      </c>
    </row>
    <row r="292" spans="1:24" hidden="1" x14ac:dyDescent="0.25">
      <c r="A292" s="7" t="s">
        <v>651</v>
      </c>
      <c r="B292" s="4" t="s">
        <v>679</v>
      </c>
      <c r="C292" s="5" t="str">
        <f t="shared" si="39"/>
        <v>08</v>
      </c>
      <c r="D292" s="5" t="str">
        <f t="shared" si="40"/>
        <v>05</v>
      </c>
      <c r="E292" s="4" t="s">
        <v>30</v>
      </c>
      <c r="F292" s="4" t="s">
        <v>31</v>
      </c>
      <c r="G292" s="8" t="str">
        <f t="shared" si="41"/>
        <v>08/05/2021</v>
      </c>
      <c r="H292" s="4" t="s">
        <v>1</v>
      </c>
      <c r="I292" s="4" t="s">
        <v>0</v>
      </c>
      <c r="J292" s="7" t="s">
        <v>809</v>
      </c>
      <c r="K292" s="7" t="s">
        <v>172</v>
      </c>
      <c r="L292" s="9" t="str">
        <f>+VLOOKUP(K292,'[1]BASE DE PROVEEDORES'!$A:$B,2,0)</f>
        <v>MANEJO INTEGRAL DE DESECHOS SOLIDOS SEM DE C.V.</v>
      </c>
      <c r="M292" s="10">
        <v>0</v>
      </c>
      <c r="N292" s="7" t="s">
        <v>2</v>
      </c>
      <c r="O292" s="7" t="s">
        <v>2</v>
      </c>
      <c r="P292" s="10">
        <v>52.79</v>
      </c>
      <c r="Q292" s="29" t="s">
        <v>2</v>
      </c>
      <c r="R292" s="32" t="s">
        <v>2</v>
      </c>
      <c r="S292" s="32" t="s">
        <v>2</v>
      </c>
      <c r="T292" s="29">
        <v>6.86</v>
      </c>
      <c r="U292" s="29">
        <f t="shared" si="42"/>
        <v>59.65</v>
      </c>
      <c r="V292" s="4" t="s">
        <v>3</v>
      </c>
      <c r="X292" s="3">
        <f t="shared" si="43"/>
        <v>6.86</v>
      </c>
    </row>
    <row r="293" spans="1:24" hidden="1" x14ac:dyDescent="0.25">
      <c r="A293" s="7" t="s">
        <v>651</v>
      </c>
      <c r="B293" s="4" t="s">
        <v>679</v>
      </c>
      <c r="C293" s="5" t="str">
        <f t="shared" si="39"/>
        <v>08</v>
      </c>
      <c r="D293" s="5" t="str">
        <f t="shared" si="40"/>
        <v>05</v>
      </c>
      <c r="E293" s="4" t="s">
        <v>30</v>
      </c>
      <c r="F293" s="4" t="s">
        <v>31</v>
      </c>
      <c r="G293" s="8" t="str">
        <f t="shared" si="41"/>
        <v>08/05/2021</v>
      </c>
      <c r="H293" s="4" t="s">
        <v>1</v>
      </c>
      <c r="I293" s="4" t="s">
        <v>0</v>
      </c>
      <c r="J293" s="7" t="s">
        <v>828</v>
      </c>
      <c r="K293" s="7" t="s">
        <v>172</v>
      </c>
      <c r="L293" s="9" t="str">
        <f>+VLOOKUP(K293,'[1]BASE DE PROVEEDORES'!$A:$B,2,0)</f>
        <v>MANEJO INTEGRAL DE DESECHOS SOLIDOS SEM DE C.V.</v>
      </c>
      <c r="M293" s="10">
        <v>0</v>
      </c>
      <c r="N293" s="7" t="s">
        <v>2</v>
      </c>
      <c r="O293" s="7" t="s">
        <v>2</v>
      </c>
      <c r="P293" s="10">
        <v>56.26</v>
      </c>
      <c r="Q293" s="29" t="s">
        <v>2</v>
      </c>
      <c r="R293" s="32" t="s">
        <v>2</v>
      </c>
      <c r="S293" s="32" t="s">
        <v>2</v>
      </c>
      <c r="T293" s="29">
        <v>7.31</v>
      </c>
      <c r="U293" s="29">
        <f t="shared" si="42"/>
        <v>63.57</v>
      </c>
      <c r="V293" s="4" t="s">
        <v>3</v>
      </c>
      <c r="X293" s="3">
        <f t="shared" si="43"/>
        <v>7.31</v>
      </c>
    </row>
    <row r="294" spans="1:24" hidden="1" x14ac:dyDescent="0.25">
      <c r="A294" s="7" t="s">
        <v>651</v>
      </c>
      <c r="B294" s="4" t="s">
        <v>683</v>
      </c>
      <c r="C294" s="5" t="str">
        <f t="shared" si="39"/>
        <v>09</v>
      </c>
      <c r="D294" s="5" t="str">
        <f t="shared" si="40"/>
        <v>05</v>
      </c>
      <c r="E294" s="4" t="s">
        <v>30</v>
      </c>
      <c r="F294" s="4" t="s">
        <v>31</v>
      </c>
      <c r="G294" s="8" t="str">
        <f t="shared" si="41"/>
        <v>09/05/2021</v>
      </c>
      <c r="H294" s="4" t="s">
        <v>1</v>
      </c>
      <c r="I294" s="4" t="s">
        <v>0</v>
      </c>
      <c r="J294" s="7" t="s">
        <v>684</v>
      </c>
      <c r="K294" s="7" t="s">
        <v>45</v>
      </c>
      <c r="L294" s="9" t="str">
        <f>+VLOOKUP(K294,'[1]BASE DE PROVEEDORES'!$A:$B,2,0)</f>
        <v>JOSE RICARDO ANTONIO MOLINA</v>
      </c>
      <c r="M294" s="10">
        <f>7.03+3.52</f>
        <v>10.55</v>
      </c>
      <c r="N294" s="7" t="s">
        <v>2</v>
      </c>
      <c r="O294" s="7" t="s">
        <v>2</v>
      </c>
      <c r="P294" s="10">
        <v>81.56</v>
      </c>
      <c r="Q294" s="29" t="s">
        <v>2</v>
      </c>
      <c r="R294" s="32" t="s">
        <v>2</v>
      </c>
      <c r="S294" s="32" t="s">
        <v>2</v>
      </c>
      <c r="T294" s="29">
        <v>10.6</v>
      </c>
      <c r="U294" s="29">
        <f t="shared" si="42"/>
        <v>102.71</v>
      </c>
      <c r="V294" s="4" t="s">
        <v>3</v>
      </c>
      <c r="X294" s="3">
        <f t="shared" si="43"/>
        <v>10.6</v>
      </c>
    </row>
    <row r="295" spans="1:24" hidden="1" x14ac:dyDescent="0.25">
      <c r="A295" s="7" t="s">
        <v>651</v>
      </c>
      <c r="B295" s="4" t="s">
        <v>683</v>
      </c>
      <c r="C295" s="5" t="str">
        <f t="shared" si="39"/>
        <v>09</v>
      </c>
      <c r="D295" s="5" t="str">
        <f t="shared" si="40"/>
        <v>05</v>
      </c>
      <c r="E295" s="4" t="s">
        <v>30</v>
      </c>
      <c r="F295" s="4" t="s">
        <v>31</v>
      </c>
      <c r="G295" s="8" t="str">
        <f t="shared" si="41"/>
        <v>09/05/2021</v>
      </c>
      <c r="H295" s="4" t="s">
        <v>1</v>
      </c>
      <c r="I295" s="4" t="s">
        <v>0</v>
      </c>
      <c r="J295" s="7" t="s">
        <v>775</v>
      </c>
      <c r="K295" s="7" t="s">
        <v>770</v>
      </c>
      <c r="L295" s="9" t="str">
        <f>+VLOOKUP(K295,'[1]BASE DE PROVEEDORES'!$A:$B,2,0)</f>
        <v>RAFAEL RENE CANALES PINAUD</v>
      </c>
      <c r="M295" s="10">
        <f>2.37+1.18</f>
        <v>3.55</v>
      </c>
      <c r="N295" s="7" t="s">
        <v>2</v>
      </c>
      <c r="O295" s="7" t="s">
        <v>2</v>
      </c>
      <c r="P295" s="10">
        <v>26.94</v>
      </c>
      <c r="Q295" s="29" t="s">
        <v>2</v>
      </c>
      <c r="R295" s="32" t="s">
        <v>2</v>
      </c>
      <c r="S295" s="32" t="s">
        <v>2</v>
      </c>
      <c r="T295" s="29">
        <v>3.5</v>
      </c>
      <c r="U295" s="29">
        <f t="shared" si="42"/>
        <v>33.99</v>
      </c>
      <c r="V295" s="4" t="s">
        <v>3</v>
      </c>
      <c r="X295" s="3">
        <f t="shared" si="43"/>
        <v>3.5</v>
      </c>
    </row>
    <row r="296" spans="1:24" hidden="1" x14ac:dyDescent="0.25">
      <c r="A296" s="7" t="s">
        <v>651</v>
      </c>
      <c r="B296" s="4" t="s">
        <v>685</v>
      </c>
      <c r="C296" s="5" t="str">
        <f t="shared" si="39"/>
        <v>10</v>
      </c>
      <c r="D296" s="5" t="str">
        <f t="shared" si="40"/>
        <v>05</v>
      </c>
      <c r="E296" s="4" t="s">
        <v>30</v>
      </c>
      <c r="F296" s="4" t="s">
        <v>31</v>
      </c>
      <c r="G296" s="8" t="str">
        <f t="shared" si="41"/>
        <v>10/05/2021</v>
      </c>
      <c r="H296" s="4" t="s">
        <v>1</v>
      </c>
      <c r="I296" s="4" t="s">
        <v>0</v>
      </c>
      <c r="J296" s="7" t="s">
        <v>686</v>
      </c>
      <c r="K296" s="7" t="s">
        <v>45</v>
      </c>
      <c r="L296" s="9" t="str">
        <f>+VLOOKUP(K296,'[1]BASE DE PROVEEDORES'!$A:$B,2,0)</f>
        <v>JOSE RICARDO ANTONIO MOLINA</v>
      </c>
      <c r="M296" s="10">
        <f>3.16+1.58</f>
        <v>4.74</v>
      </c>
      <c r="N296" s="7" t="s">
        <v>2</v>
      </c>
      <c r="O296" s="7" t="s">
        <v>2</v>
      </c>
      <c r="P296" s="10">
        <v>36.6</v>
      </c>
      <c r="Q296" s="29" t="s">
        <v>2</v>
      </c>
      <c r="R296" s="32" t="s">
        <v>2</v>
      </c>
      <c r="S296" s="32" t="s">
        <v>2</v>
      </c>
      <c r="T296" s="29">
        <v>4.76</v>
      </c>
      <c r="U296" s="29">
        <f t="shared" si="42"/>
        <v>46.1</v>
      </c>
      <c r="V296" s="4" t="s">
        <v>3</v>
      </c>
      <c r="X296" s="3">
        <f t="shared" si="43"/>
        <v>4.76</v>
      </c>
    </row>
    <row r="297" spans="1:24" hidden="1" x14ac:dyDescent="0.25">
      <c r="A297" s="7" t="s">
        <v>651</v>
      </c>
      <c r="B297" s="4" t="s">
        <v>685</v>
      </c>
      <c r="C297" s="5" t="str">
        <f t="shared" si="39"/>
        <v>10</v>
      </c>
      <c r="D297" s="5" t="str">
        <f t="shared" si="40"/>
        <v>05</v>
      </c>
      <c r="E297" s="4" t="s">
        <v>30</v>
      </c>
      <c r="F297" s="4" t="s">
        <v>31</v>
      </c>
      <c r="G297" s="8" t="str">
        <f t="shared" si="41"/>
        <v>10/05/2021</v>
      </c>
      <c r="H297" s="4" t="s">
        <v>1</v>
      </c>
      <c r="I297" s="4" t="s">
        <v>0</v>
      </c>
      <c r="J297" s="7" t="s">
        <v>687</v>
      </c>
      <c r="K297" s="7" t="s">
        <v>45</v>
      </c>
      <c r="L297" s="9" t="str">
        <f>+VLOOKUP(K297,'[1]BASE DE PROVEEDORES'!$A:$B,2,0)</f>
        <v>JOSE RICARDO ANTONIO MOLINA</v>
      </c>
      <c r="M297" s="10">
        <f>7.88+3.94</f>
        <v>11.82</v>
      </c>
      <c r="N297" s="7" t="s">
        <v>2</v>
      </c>
      <c r="O297" s="7" t="s">
        <v>2</v>
      </c>
      <c r="P297" s="10">
        <v>91.31</v>
      </c>
      <c r="Q297" s="29" t="s">
        <v>2</v>
      </c>
      <c r="R297" s="32" t="s">
        <v>2</v>
      </c>
      <c r="S297" s="32" t="s">
        <v>2</v>
      </c>
      <c r="T297" s="29">
        <v>11.87</v>
      </c>
      <c r="U297" s="29">
        <f t="shared" si="42"/>
        <v>115</v>
      </c>
      <c r="V297" s="4" t="s">
        <v>3</v>
      </c>
      <c r="X297" s="3">
        <f t="shared" si="43"/>
        <v>11.87</v>
      </c>
    </row>
    <row r="298" spans="1:24" hidden="1" x14ac:dyDescent="0.25">
      <c r="A298" s="7" t="s">
        <v>651</v>
      </c>
      <c r="B298" s="4" t="s">
        <v>685</v>
      </c>
      <c r="C298" s="5" t="str">
        <f t="shared" si="39"/>
        <v>10</v>
      </c>
      <c r="D298" s="5" t="str">
        <f t="shared" si="40"/>
        <v>05</v>
      </c>
      <c r="E298" s="4" t="s">
        <v>30</v>
      </c>
      <c r="F298" s="4" t="s">
        <v>31</v>
      </c>
      <c r="G298" s="8" t="str">
        <f t="shared" si="41"/>
        <v>10/05/2021</v>
      </c>
      <c r="H298" s="4" t="s">
        <v>1</v>
      </c>
      <c r="I298" s="4" t="s">
        <v>0</v>
      </c>
      <c r="J298" s="7" t="s">
        <v>736</v>
      </c>
      <c r="K298" s="7" t="s">
        <v>28</v>
      </c>
      <c r="L298" s="9" t="str">
        <f>+VLOOKUP(K298,'[1]BASE DE PROVEEDORES'!$A:$B,2,0)</f>
        <v xml:space="preserve">ACTIVIDADES PETROLERAS DE EL SALVADOR S.A DE C.V </v>
      </c>
      <c r="M298" s="10">
        <f>2.5+1.25</f>
        <v>3.75</v>
      </c>
      <c r="N298" s="7" t="s">
        <v>2</v>
      </c>
      <c r="O298" s="7" t="s">
        <v>2</v>
      </c>
      <c r="P298" s="10">
        <v>29.03</v>
      </c>
      <c r="Q298" s="29" t="s">
        <v>2</v>
      </c>
      <c r="R298" s="32" t="s">
        <v>2</v>
      </c>
      <c r="S298" s="32" t="s">
        <v>2</v>
      </c>
      <c r="T298" s="29">
        <v>3.77</v>
      </c>
      <c r="U298" s="29">
        <f t="shared" si="42"/>
        <v>36.550000000000004</v>
      </c>
      <c r="V298" s="4" t="s">
        <v>3</v>
      </c>
      <c r="X298" s="3">
        <f t="shared" si="43"/>
        <v>3.77</v>
      </c>
    </row>
    <row r="299" spans="1:24" hidden="1" x14ac:dyDescent="0.25">
      <c r="A299" s="7" t="s">
        <v>651</v>
      </c>
      <c r="B299" s="4" t="s">
        <v>656</v>
      </c>
      <c r="C299" s="5" t="str">
        <f t="shared" si="39"/>
        <v>11</v>
      </c>
      <c r="D299" s="5" t="str">
        <f t="shared" si="40"/>
        <v>05</v>
      </c>
      <c r="E299" s="4" t="s">
        <v>30</v>
      </c>
      <c r="F299" s="4" t="s">
        <v>31</v>
      </c>
      <c r="G299" s="8" t="str">
        <f t="shared" si="41"/>
        <v>11/05/2021</v>
      </c>
      <c r="H299" s="4" t="s">
        <v>1</v>
      </c>
      <c r="I299" s="4" t="s">
        <v>0</v>
      </c>
      <c r="J299" s="7" t="s">
        <v>764</v>
      </c>
      <c r="K299" s="7" t="s">
        <v>765</v>
      </c>
      <c r="L299" s="9" t="str">
        <f>+VLOOKUP(K299,'[1]BASE DE PROVEEDORES'!$A:$B,2,0)</f>
        <v>FARMACIAS EUROPEAS</v>
      </c>
      <c r="M299" s="10">
        <v>0</v>
      </c>
      <c r="N299" s="7" t="s">
        <v>2</v>
      </c>
      <c r="O299" s="7" t="s">
        <v>2</v>
      </c>
      <c r="P299" s="10">
        <v>23.9</v>
      </c>
      <c r="Q299" s="29" t="s">
        <v>2</v>
      </c>
      <c r="R299" s="32" t="s">
        <v>2</v>
      </c>
      <c r="S299" s="32" t="s">
        <v>2</v>
      </c>
      <c r="T299" s="29">
        <v>3.11</v>
      </c>
      <c r="U299" s="29">
        <f t="shared" si="42"/>
        <v>27.009999999999998</v>
      </c>
      <c r="V299" s="4" t="s">
        <v>3</v>
      </c>
      <c r="X299" s="3">
        <f t="shared" si="43"/>
        <v>3.11</v>
      </c>
    </row>
    <row r="300" spans="1:24" hidden="1" x14ac:dyDescent="0.25">
      <c r="A300" s="7" t="s">
        <v>651</v>
      </c>
      <c r="B300" s="4" t="s">
        <v>656</v>
      </c>
      <c r="C300" s="5" t="str">
        <f t="shared" si="39"/>
        <v>11</v>
      </c>
      <c r="D300" s="5" t="str">
        <f t="shared" si="40"/>
        <v>05</v>
      </c>
      <c r="E300" s="4" t="s">
        <v>30</v>
      </c>
      <c r="F300" s="4" t="s">
        <v>31</v>
      </c>
      <c r="G300" s="8" t="str">
        <f t="shared" si="41"/>
        <v>11/05/2021</v>
      </c>
      <c r="H300" s="4" t="s">
        <v>1</v>
      </c>
      <c r="I300" s="4" t="s">
        <v>0</v>
      </c>
      <c r="J300" s="7" t="s">
        <v>794</v>
      </c>
      <c r="K300" s="7" t="s">
        <v>126</v>
      </c>
      <c r="L300" s="9" t="str">
        <f>+VLOOKUP(K300,'[1]BASE DE PROVEEDORES'!$A:$B,2,0)</f>
        <v>REPUESTOS IZALCO S.A DE C.V.</v>
      </c>
      <c r="M300" s="10">
        <v>0</v>
      </c>
      <c r="N300" s="7" t="s">
        <v>2</v>
      </c>
      <c r="O300" s="7" t="s">
        <v>2</v>
      </c>
      <c r="P300" s="10">
        <v>18</v>
      </c>
      <c r="Q300" s="29" t="s">
        <v>2</v>
      </c>
      <c r="R300" s="32" t="s">
        <v>2</v>
      </c>
      <c r="S300" s="32" t="s">
        <v>2</v>
      </c>
      <c r="T300" s="29">
        <v>2.34</v>
      </c>
      <c r="U300" s="29">
        <f t="shared" si="42"/>
        <v>20.34</v>
      </c>
      <c r="V300" s="4" t="s">
        <v>3</v>
      </c>
      <c r="X300" s="3">
        <f t="shared" si="43"/>
        <v>2.34</v>
      </c>
    </row>
    <row r="301" spans="1:24" hidden="1" x14ac:dyDescent="0.25">
      <c r="A301" s="7" t="s">
        <v>651</v>
      </c>
      <c r="B301" s="4" t="s">
        <v>656</v>
      </c>
      <c r="C301" s="5" t="str">
        <f t="shared" si="39"/>
        <v>11</v>
      </c>
      <c r="D301" s="5" t="str">
        <f t="shared" si="40"/>
        <v>05</v>
      </c>
      <c r="E301" s="4" t="s">
        <v>30</v>
      </c>
      <c r="F301" s="4" t="s">
        <v>31</v>
      </c>
      <c r="G301" s="8" t="str">
        <f t="shared" si="41"/>
        <v>11/05/2021</v>
      </c>
      <c r="H301" s="4" t="s">
        <v>1</v>
      </c>
      <c r="I301" s="4" t="s">
        <v>0</v>
      </c>
      <c r="J301" s="7" t="s">
        <v>803</v>
      </c>
      <c r="K301" s="7" t="s">
        <v>172</v>
      </c>
      <c r="L301" s="9" t="str">
        <f>+VLOOKUP(K301,'[1]BASE DE PROVEEDORES'!$A:$B,2,0)</f>
        <v>MANEJO INTEGRAL DE DESECHOS SOLIDOS SEM DE C.V.</v>
      </c>
      <c r="M301" s="10">
        <v>0</v>
      </c>
      <c r="N301" s="7" t="s">
        <v>2</v>
      </c>
      <c r="O301" s="7" t="s">
        <v>2</v>
      </c>
      <c r="P301" s="10">
        <v>56.26</v>
      </c>
      <c r="Q301" s="29" t="s">
        <v>2</v>
      </c>
      <c r="R301" s="32" t="s">
        <v>2</v>
      </c>
      <c r="S301" s="32" t="s">
        <v>2</v>
      </c>
      <c r="T301" s="29">
        <v>7.31</v>
      </c>
      <c r="U301" s="29">
        <f t="shared" si="42"/>
        <v>63.57</v>
      </c>
      <c r="V301" s="4" t="s">
        <v>3</v>
      </c>
      <c r="X301" s="3">
        <f t="shared" si="43"/>
        <v>7.31</v>
      </c>
    </row>
    <row r="302" spans="1:24" hidden="1" x14ac:dyDescent="0.25">
      <c r="A302" s="7" t="s">
        <v>651</v>
      </c>
      <c r="B302" s="4" t="s">
        <v>656</v>
      </c>
      <c r="C302" s="5" t="str">
        <f t="shared" si="39"/>
        <v>11</v>
      </c>
      <c r="D302" s="5" t="str">
        <f t="shared" si="40"/>
        <v>05</v>
      </c>
      <c r="E302" s="4" t="s">
        <v>30</v>
      </c>
      <c r="F302" s="4" t="s">
        <v>31</v>
      </c>
      <c r="G302" s="8" t="str">
        <f t="shared" si="41"/>
        <v>11/05/2021</v>
      </c>
      <c r="H302" s="4" t="s">
        <v>1</v>
      </c>
      <c r="I302" s="4" t="s">
        <v>0</v>
      </c>
      <c r="J302" s="7" t="s">
        <v>810</v>
      </c>
      <c r="K302" s="7" t="s">
        <v>172</v>
      </c>
      <c r="L302" s="9" t="str">
        <f>+VLOOKUP(K302,'[1]BASE DE PROVEEDORES'!$A:$B,2,0)</f>
        <v>MANEJO INTEGRAL DE DESECHOS SOLIDOS SEM DE C.V.</v>
      </c>
      <c r="M302" s="10">
        <v>0</v>
      </c>
      <c r="N302" s="7" t="s">
        <v>2</v>
      </c>
      <c r="O302" s="7" t="s">
        <v>2</v>
      </c>
      <c r="P302" s="10">
        <v>56.16</v>
      </c>
      <c r="Q302" s="29" t="s">
        <v>2</v>
      </c>
      <c r="R302" s="32" t="s">
        <v>2</v>
      </c>
      <c r="S302" s="32" t="s">
        <v>2</v>
      </c>
      <c r="T302" s="29">
        <v>7.3</v>
      </c>
      <c r="U302" s="29">
        <f t="shared" si="42"/>
        <v>63.459999999999994</v>
      </c>
      <c r="V302" s="4" t="s">
        <v>3</v>
      </c>
      <c r="X302" s="3">
        <f t="shared" si="43"/>
        <v>7.3</v>
      </c>
    </row>
    <row r="303" spans="1:24" hidden="1" x14ac:dyDescent="0.25">
      <c r="A303" s="7" t="s">
        <v>651</v>
      </c>
      <c r="B303" s="4" t="s">
        <v>656</v>
      </c>
      <c r="C303" s="5" t="str">
        <f t="shared" si="39"/>
        <v>11</v>
      </c>
      <c r="D303" s="5" t="str">
        <f t="shared" si="40"/>
        <v>05</v>
      </c>
      <c r="E303" s="4" t="s">
        <v>30</v>
      </c>
      <c r="F303" s="4" t="s">
        <v>31</v>
      </c>
      <c r="G303" s="8" t="str">
        <f t="shared" si="41"/>
        <v>11/05/2021</v>
      </c>
      <c r="H303" s="4" t="s">
        <v>1</v>
      </c>
      <c r="I303" s="4" t="s">
        <v>0</v>
      </c>
      <c r="J303" s="7" t="s">
        <v>821</v>
      </c>
      <c r="K303" s="7" t="s">
        <v>172</v>
      </c>
      <c r="L303" s="9" t="str">
        <f>+VLOOKUP(K303,'[1]BASE DE PROVEEDORES'!$A:$B,2,0)</f>
        <v>MANEJO INTEGRAL DE DESECHOS SOLIDOS SEM DE C.V.</v>
      </c>
      <c r="M303" s="10">
        <v>0</v>
      </c>
      <c r="N303" s="7" t="s">
        <v>2</v>
      </c>
      <c r="O303" s="7" t="s">
        <v>2</v>
      </c>
      <c r="P303" s="10">
        <v>31.44</v>
      </c>
      <c r="Q303" s="29" t="s">
        <v>2</v>
      </c>
      <c r="R303" s="32" t="s">
        <v>2</v>
      </c>
      <c r="S303" s="32" t="s">
        <v>2</v>
      </c>
      <c r="T303" s="29">
        <v>4.09</v>
      </c>
      <c r="U303" s="29">
        <f t="shared" si="42"/>
        <v>35.53</v>
      </c>
      <c r="V303" s="4" t="s">
        <v>3</v>
      </c>
      <c r="X303" s="3">
        <f t="shared" si="43"/>
        <v>4.09</v>
      </c>
    </row>
    <row r="304" spans="1:24" hidden="1" x14ac:dyDescent="0.25">
      <c r="A304" s="7" t="s">
        <v>651</v>
      </c>
      <c r="B304" s="4" t="s">
        <v>656</v>
      </c>
      <c r="C304" s="5" t="str">
        <f t="shared" si="39"/>
        <v>11</v>
      </c>
      <c r="D304" s="5" t="str">
        <f t="shared" si="40"/>
        <v>05</v>
      </c>
      <c r="E304" s="4" t="s">
        <v>30</v>
      </c>
      <c r="F304" s="4" t="s">
        <v>31</v>
      </c>
      <c r="G304" s="8" t="str">
        <f t="shared" si="41"/>
        <v>11/05/2021</v>
      </c>
      <c r="H304" s="4" t="s">
        <v>1</v>
      </c>
      <c r="I304" s="4" t="s">
        <v>0</v>
      </c>
      <c r="J304" s="7" t="s">
        <v>566</v>
      </c>
      <c r="K304" s="7" t="s">
        <v>172</v>
      </c>
      <c r="L304" s="9" t="str">
        <f>+VLOOKUP(K304,'[1]BASE DE PROVEEDORES'!$A:$B,2,0)</f>
        <v>MANEJO INTEGRAL DE DESECHOS SOLIDOS SEM DE C.V.</v>
      </c>
      <c r="M304" s="10">
        <v>0</v>
      </c>
      <c r="N304" s="7" t="s">
        <v>2</v>
      </c>
      <c r="O304" s="7" t="s">
        <v>2</v>
      </c>
      <c r="P304" s="10">
        <v>28.08</v>
      </c>
      <c r="Q304" s="29" t="s">
        <v>2</v>
      </c>
      <c r="R304" s="32" t="s">
        <v>2</v>
      </c>
      <c r="S304" s="32" t="s">
        <v>2</v>
      </c>
      <c r="T304" s="29">
        <v>3.65</v>
      </c>
      <c r="U304" s="29">
        <f t="shared" si="42"/>
        <v>31.729999999999997</v>
      </c>
      <c r="V304" s="4" t="s">
        <v>3</v>
      </c>
      <c r="X304" s="3">
        <f t="shared" si="43"/>
        <v>3.65</v>
      </c>
    </row>
    <row r="305" spans="1:24" hidden="1" x14ac:dyDescent="0.25">
      <c r="A305" s="7" t="s">
        <v>651</v>
      </c>
      <c r="B305" s="4" t="s">
        <v>688</v>
      </c>
      <c r="C305" s="5" t="str">
        <f t="shared" si="39"/>
        <v>12</v>
      </c>
      <c r="D305" s="5" t="str">
        <f t="shared" si="40"/>
        <v>05</v>
      </c>
      <c r="E305" s="4" t="s">
        <v>30</v>
      </c>
      <c r="F305" s="4" t="s">
        <v>31</v>
      </c>
      <c r="G305" s="8" t="str">
        <f t="shared" si="41"/>
        <v>12/05/2021</v>
      </c>
      <c r="H305" s="4" t="s">
        <v>1</v>
      </c>
      <c r="I305" s="4" t="s">
        <v>0</v>
      </c>
      <c r="J305" s="7" t="s">
        <v>689</v>
      </c>
      <c r="K305" s="7" t="s">
        <v>45</v>
      </c>
      <c r="L305" s="9" t="str">
        <f>+VLOOKUP(K305,'[1]BASE DE PROVEEDORES'!$A:$B,2,0)</f>
        <v>JOSE RICARDO ANTONIO MOLINA</v>
      </c>
      <c r="M305" s="10">
        <f>4.51+2.26</f>
        <v>6.77</v>
      </c>
      <c r="N305" s="7" t="s">
        <v>2</v>
      </c>
      <c r="O305" s="7" t="s">
        <v>2</v>
      </c>
      <c r="P305" s="10">
        <v>52.37</v>
      </c>
      <c r="Q305" s="29" t="s">
        <v>2</v>
      </c>
      <c r="R305" s="32" t="s">
        <v>2</v>
      </c>
      <c r="S305" s="32" t="s">
        <v>2</v>
      </c>
      <c r="T305" s="29">
        <v>6.81</v>
      </c>
      <c r="U305" s="29">
        <f t="shared" si="42"/>
        <v>65.95</v>
      </c>
      <c r="V305" s="4" t="s">
        <v>3</v>
      </c>
      <c r="X305" s="3">
        <f t="shared" si="43"/>
        <v>6.81</v>
      </c>
    </row>
    <row r="306" spans="1:24" hidden="1" x14ac:dyDescent="0.25">
      <c r="A306" s="7" t="s">
        <v>651</v>
      </c>
      <c r="B306" s="4" t="s">
        <v>688</v>
      </c>
      <c r="C306" s="5" t="str">
        <f t="shared" si="39"/>
        <v>12</v>
      </c>
      <c r="D306" s="5" t="str">
        <f t="shared" si="40"/>
        <v>05</v>
      </c>
      <c r="E306" s="4" t="s">
        <v>30</v>
      </c>
      <c r="F306" s="4" t="s">
        <v>31</v>
      </c>
      <c r="G306" s="8" t="str">
        <f t="shared" si="41"/>
        <v>12/05/2021</v>
      </c>
      <c r="H306" s="4" t="s">
        <v>1</v>
      </c>
      <c r="I306" s="4" t="s">
        <v>0</v>
      </c>
      <c r="J306" s="7" t="s">
        <v>735</v>
      </c>
      <c r="K306" s="7" t="s">
        <v>28</v>
      </c>
      <c r="L306" s="9" t="str">
        <f>+VLOOKUP(K306,'[1]BASE DE PROVEEDORES'!$A:$B,2,0)</f>
        <v xml:space="preserve">ACTIVIDADES PETROLERAS DE EL SALVADOR S.A DE C.V </v>
      </c>
      <c r="M306" s="10">
        <f>2.28+1.14</f>
        <v>3.42</v>
      </c>
      <c r="N306" s="7" t="s">
        <v>2</v>
      </c>
      <c r="O306" s="7" t="s">
        <v>2</v>
      </c>
      <c r="P306" s="10">
        <v>26.48</v>
      </c>
      <c r="Q306" s="29" t="s">
        <v>2</v>
      </c>
      <c r="R306" s="32" t="s">
        <v>2</v>
      </c>
      <c r="S306" s="32" t="s">
        <v>2</v>
      </c>
      <c r="T306" s="29">
        <v>3.44</v>
      </c>
      <c r="U306" s="29">
        <f t="shared" si="42"/>
        <v>33.339999999999996</v>
      </c>
      <c r="V306" s="4" t="s">
        <v>3</v>
      </c>
      <c r="X306" s="3">
        <f t="shared" si="43"/>
        <v>3.44</v>
      </c>
    </row>
    <row r="307" spans="1:24" hidden="1" x14ac:dyDescent="0.25">
      <c r="A307" s="7" t="s">
        <v>651</v>
      </c>
      <c r="B307" s="4" t="s">
        <v>688</v>
      </c>
      <c r="C307" s="5" t="str">
        <f t="shared" si="39"/>
        <v>12</v>
      </c>
      <c r="D307" s="5" t="str">
        <f t="shared" si="40"/>
        <v>05</v>
      </c>
      <c r="E307" s="4" t="s">
        <v>30</v>
      </c>
      <c r="F307" s="4" t="s">
        <v>31</v>
      </c>
      <c r="G307" s="8" t="str">
        <f t="shared" si="41"/>
        <v>12/05/2021</v>
      </c>
      <c r="H307" s="4" t="s">
        <v>1</v>
      </c>
      <c r="I307" s="4" t="s">
        <v>0</v>
      </c>
      <c r="J307" s="7" t="s">
        <v>757</v>
      </c>
      <c r="K307" s="7" t="s">
        <v>753</v>
      </c>
      <c r="L307" s="9" t="str">
        <f>+VLOOKUP(K307,'[1]BASE DE PROVEEDORES'!$A:$B,2,0)</f>
        <v>SERTRACEN S.A DE C.V.</v>
      </c>
      <c r="M307" s="10">
        <v>0</v>
      </c>
      <c r="N307" s="7" t="s">
        <v>2</v>
      </c>
      <c r="O307" s="7" t="s">
        <v>2</v>
      </c>
      <c r="P307" s="10">
        <v>46.29</v>
      </c>
      <c r="Q307" s="29" t="s">
        <v>2</v>
      </c>
      <c r="R307" s="32" t="s">
        <v>2</v>
      </c>
      <c r="S307" s="32" t="s">
        <v>2</v>
      </c>
      <c r="T307" s="29">
        <v>6.02</v>
      </c>
      <c r="U307" s="29">
        <f t="shared" si="42"/>
        <v>52.31</v>
      </c>
      <c r="V307" s="4" t="s">
        <v>3</v>
      </c>
      <c r="X307" s="3">
        <f t="shared" si="43"/>
        <v>6.02</v>
      </c>
    </row>
    <row r="308" spans="1:24" hidden="1" x14ac:dyDescent="0.25">
      <c r="A308" s="7" t="s">
        <v>651</v>
      </c>
      <c r="B308" s="4" t="s">
        <v>688</v>
      </c>
      <c r="C308" s="5" t="str">
        <f t="shared" ref="C308:C339" si="44">+LEFT(B308,2)</f>
        <v>12</v>
      </c>
      <c r="D308" s="5" t="str">
        <f t="shared" ref="D308:D339" si="45">+RIGHT(B308,2)</f>
        <v>05</v>
      </c>
      <c r="E308" s="4" t="s">
        <v>30</v>
      </c>
      <c r="F308" s="4" t="s">
        <v>31</v>
      </c>
      <c r="G308" s="8" t="str">
        <f t="shared" ref="G308:G339" si="46">+C308&amp;F308&amp;D308&amp;F308&amp;E308</f>
        <v>12/05/2021</v>
      </c>
      <c r="H308" s="4" t="s">
        <v>1</v>
      </c>
      <c r="I308" s="4" t="s">
        <v>0</v>
      </c>
      <c r="J308" s="7" t="s">
        <v>758</v>
      </c>
      <c r="K308" s="7" t="s">
        <v>759</v>
      </c>
      <c r="L308" s="9" t="str">
        <f>+VLOOKUP(K308,'[1]BASE DE PROVEEDORES'!$A:$B,2,0)</f>
        <v>MARIA ISABEL AVELAR</v>
      </c>
      <c r="M308" s="10">
        <v>0</v>
      </c>
      <c r="N308" s="7" t="s">
        <v>2</v>
      </c>
      <c r="O308" s="7" t="s">
        <v>2</v>
      </c>
      <c r="P308" s="10">
        <v>200</v>
      </c>
      <c r="Q308" s="29" t="s">
        <v>2</v>
      </c>
      <c r="R308" s="32" t="s">
        <v>2</v>
      </c>
      <c r="S308" s="32" t="s">
        <v>2</v>
      </c>
      <c r="T308" s="29">
        <v>26</v>
      </c>
      <c r="U308" s="29">
        <f t="shared" ref="U308:U339" si="47">+M308+P308+T308</f>
        <v>226</v>
      </c>
      <c r="V308" s="4" t="s">
        <v>3</v>
      </c>
      <c r="X308" s="3">
        <f t="shared" ref="X308:X339" si="48">+ROUND(T308,2)</f>
        <v>26</v>
      </c>
    </row>
    <row r="309" spans="1:24" hidden="1" x14ac:dyDescent="0.25">
      <c r="A309" s="7" t="s">
        <v>651</v>
      </c>
      <c r="B309" s="4" t="s">
        <v>688</v>
      </c>
      <c r="C309" s="5" t="str">
        <f t="shared" si="44"/>
        <v>12</v>
      </c>
      <c r="D309" s="5" t="str">
        <f t="shared" si="45"/>
        <v>05</v>
      </c>
      <c r="E309" s="4" t="s">
        <v>30</v>
      </c>
      <c r="F309" s="4" t="s">
        <v>31</v>
      </c>
      <c r="G309" s="8" t="str">
        <f t="shared" si="46"/>
        <v>12/05/2021</v>
      </c>
      <c r="H309" s="4" t="s">
        <v>1</v>
      </c>
      <c r="I309" s="4" t="s">
        <v>0</v>
      </c>
      <c r="J309" s="7" t="s">
        <v>784</v>
      </c>
      <c r="K309" s="7" t="s">
        <v>785</v>
      </c>
      <c r="L309" s="9" t="str">
        <f>+VLOOKUP(K309,'[1]BASE DE PROVEEDORES'!$A:$B,2,0)</f>
        <v xml:space="preserve">DISTRIBUIDORA DE LUBRICANTES Y COMBUSTIBLES S.A DE C.V </v>
      </c>
      <c r="M309" s="10">
        <v>12.63</v>
      </c>
      <c r="N309" s="7" t="s">
        <v>2</v>
      </c>
      <c r="O309" s="7" t="s">
        <v>2</v>
      </c>
      <c r="P309" s="10">
        <v>103.87</v>
      </c>
      <c r="Q309" s="29" t="s">
        <v>2</v>
      </c>
      <c r="R309" s="32" t="s">
        <v>2</v>
      </c>
      <c r="S309" s="32" t="s">
        <v>2</v>
      </c>
      <c r="T309" s="29">
        <v>13.5</v>
      </c>
      <c r="U309" s="29">
        <f t="shared" si="47"/>
        <v>130</v>
      </c>
      <c r="V309" s="4" t="s">
        <v>3</v>
      </c>
      <c r="X309" s="3">
        <f t="shared" si="48"/>
        <v>13.5</v>
      </c>
    </row>
    <row r="310" spans="1:24" hidden="1" x14ac:dyDescent="0.25">
      <c r="A310" s="7" t="s">
        <v>651</v>
      </c>
      <c r="B310" s="4" t="s">
        <v>688</v>
      </c>
      <c r="C310" s="5" t="str">
        <f t="shared" si="44"/>
        <v>12</v>
      </c>
      <c r="D310" s="5" t="str">
        <f t="shared" si="45"/>
        <v>05</v>
      </c>
      <c r="E310" s="4" t="s">
        <v>30</v>
      </c>
      <c r="F310" s="4" t="s">
        <v>31</v>
      </c>
      <c r="G310" s="8" t="str">
        <f t="shared" si="46"/>
        <v>12/05/2021</v>
      </c>
      <c r="H310" s="4" t="s">
        <v>1</v>
      </c>
      <c r="I310" s="4" t="s">
        <v>0</v>
      </c>
      <c r="J310" s="7" t="s">
        <v>786</v>
      </c>
      <c r="K310" s="7" t="s">
        <v>787</v>
      </c>
      <c r="L310" s="9" t="str">
        <f>+VLOOKUP(K310,'[1]BASE DE PROVEEDORES'!$A:$B,2,0)</f>
        <v>DISTRIBUIDORA JAR S.A DE C.V.</v>
      </c>
      <c r="M310" s="10">
        <v>8.65</v>
      </c>
      <c r="N310" s="7" t="s">
        <v>2</v>
      </c>
      <c r="O310" s="7" t="s">
        <v>2</v>
      </c>
      <c r="P310" s="10">
        <v>65.8</v>
      </c>
      <c r="Q310" s="29" t="s">
        <v>2</v>
      </c>
      <c r="R310" s="32" t="s">
        <v>2</v>
      </c>
      <c r="S310" s="32" t="s">
        <v>2</v>
      </c>
      <c r="T310" s="29">
        <v>8.5500000000000007</v>
      </c>
      <c r="U310" s="29">
        <f t="shared" si="47"/>
        <v>83</v>
      </c>
      <c r="V310" s="4" t="s">
        <v>3</v>
      </c>
      <c r="X310" s="3">
        <f t="shared" si="48"/>
        <v>8.5500000000000007</v>
      </c>
    </row>
    <row r="311" spans="1:24" hidden="1" x14ac:dyDescent="0.25">
      <c r="A311" s="7" t="s">
        <v>651</v>
      </c>
      <c r="B311" s="4" t="s">
        <v>688</v>
      </c>
      <c r="C311" s="5" t="str">
        <f t="shared" si="44"/>
        <v>12</v>
      </c>
      <c r="D311" s="5" t="str">
        <f t="shared" si="45"/>
        <v>05</v>
      </c>
      <c r="E311" s="4" t="s">
        <v>30</v>
      </c>
      <c r="F311" s="4" t="s">
        <v>31</v>
      </c>
      <c r="G311" s="8" t="str">
        <f t="shared" si="46"/>
        <v>12/05/2021</v>
      </c>
      <c r="H311" s="4" t="s">
        <v>1</v>
      </c>
      <c r="I311" s="4" t="s">
        <v>0</v>
      </c>
      <c r="J311" s="7" t="s">
        <v>792</v>
      </c>
      <c r="K311" s="7" t="s">
        <v>793</v>
      </c>
      <c r="L311" s="9" t="str">
        <f>+VLOOKUP(K311,'[1]BASE DE PROVEEDORES'!$A:$B,2,0)</f>
        <v xml:space="preserve">OD EL SALVADOR LIMITADA DE C.V </v>
      </c>
      <c r="M311" s="10">
        <v>0</v>
      </c>
      <c r="N311" s="7" t="s">
        <v>2</v>
      </c>
      <c r="O311" s="7" t="s">
        <v>2</v>
      </c>
      <c r="P311" s="10">
        <v>11.5</v>
      </c>
      <c r="Q311" s="29" t="s">
        <v>2</v>
      </c>
      <c r="R311" s="32" t="s">
        <v>2</v>
      </c>
      <c r="S311" s="32" t="s">
        <v>2</v>
      </c>
      <c r="T311" s="29">
        <v>1.5</v>
      </c>
      <c r="U311" s="29">
        <f t="shared" si="47"/>
        <v>13</v>
      </c>
      <c r="V311" s="4" t="s">
        <v>3</v>
      </c>
      <c r="X311" s="3">
        <f t="shared" si="48"/>
        <v>1.5</v>
      </c>
    </row>
    <row r="312" spans="1:24" hidden="1" x14ac:dyDescent="0.25">
      <c r="A312" s="7" t="s">
        <v>651</v>
      </c>
      <c r="B312" s="4" t="s">
        <v>688</v>
      </c>
      <c r="C312" s="5" t="str">
        <f t="shared" si="44"/>
        <v>12</v>
      </c>
      <c r="D312" s="5" t="str">
        <f t="shared" si="45"/>
        <v>05</v>
      </c>
      <c r="E312" s="4" t="s">
        <v>30</v>
      </c>
      <c r="F312" s="4" t="s">
        <v>31</v>
      </c>
      <c r="G312" s="8" t="str">
        <f t="shared" si="46"/>
        <v>12/05/2021</v>
      </c>
      <c r="H312" s="4" t="s">
        <v>1</v>
      </c>
      <c r="I312" s="4" t="s">
        <v>0</v>
      </c>
      <c r="J312" s="7" t="s">
        <v>796</v>
      </c>
      <c r="K312" s="7" t="s">
        <v>797</v>
      </c>
      <c r="L312" s="9" t="str">
        <f>+VLOOKUP(K312,'[1]BASE DE PROVEEDORES'!$A:$B,2,0)</f>
        <v>FERRETERIA LA PALMA S.A DE C.V.</v>
      </c>
      <c r="M312" s="10">
        <v>0</v>
      </c>
      <c r="N312" s="7" t="s">
        <v>2</v>
      </c>
      <c r="O312" s="7" t="s">
        <v>2</v>
      </c>
      <c r="P312" s="10">
        <v>15</v>
      </c>
      <c r="Q312" s="29" t="s">
        <v>2</v>
      </c>
      <c r="R312" s="32" t="s">
        <v>2</v>
      </c>
      <c r="S312" s="32" t="s">
        <v>2</v>
      </c>
      <c r="T312" s="29">
        <v>1.95</v>
      </c>
      <c r="U312" s="29">
        <f t="shared" si="47"/>
        <v>16.95</v>
      </c>
      <c r="V312" s="4" t="s">
        <v>3</v>
      </c>
      <c r="X312" s="3">
        <f t="shared" si="48"/>
        <v>1.95</v>
      </c>
    </row>
    <row r="313" spans="1:24" hidden="1" x14ac:dyDescent="0.25">
      <c r="A313" s="7" t="s">
        <v>651</v>
      </c>
      <c r="B313" s="4" t="s">
        <v>688</v>
      </c>
      <c r="C313" s="5" t="str">
        <f t="shared" si="44"/>
        <v>12</v>
      </c>
      <c r="D313" s="5" t="str">
        <f t="shared" si="45"/>
        <v>05</v>
      </c>
      <c r="E313" s="4" t="s">
        <v>30</v>
      </c>
      <c r="F313" s="4" t="s">
        <v>31</v>
      </c>
      <c r="G313" s="8" t="str">
        <f t="shared" si="46"/>
        <v>12/05/2021</v>
      </c>
      <c r="H313" s="4" t="s">
        <v>1</v>
      </c>
      <c r="I313" s="4" t="s">
        <v>0</v>
      </c>
      <c r="J313" s="7" t="s">
        <v>798</v>
      </c>
      <c r="K313" s="7" t="s">
        <v>797</v>
      </c>
      <c r="L313" s="9" t="str">
        <f>+VLOOKUP(K313,'[1]BASE DE PROVEEDORES'!$A:$B,2,0)</f>
        <v>FERRETERIA LA PALMA S.A DE C.V.</v>
      </c>
      <c r="M313" s="10">
        <v>0</v>
      </c>
      <c r="N313" s="7" t="s">
        <v>2</v>
      </c>
      <c r="O313" s="7" t="s">
        <v>2</v>
      </c>
      <c r="P313" s="10">
        <v>15</v>
      </c>
      <c r="Q313" s="29" t="s">
        <v>2</v>
      </c>
      <c r="R313" s="32" t="s">
        <v>2</v>
      </c>
      <c r="S313" s="32" t="s">
        <v>2</v>
      </c>
      <c r="T313" s="29">
        <v>1.95</v>
      </c>
      <c r="U313" s="29">
        <f t="shared" si="47"/>
        <v>16.95</v>
      </c>
      <c r="V313" s="4" t="s">
        <v>3</v>
      </c>
      <c r="X313" s="3">
        <f t="shared" si="48"/>
        <v>1.95</v>
      </c>
    </row>
    <row r="314" spans="1:24" hidden="1" x14ac:dyDescent="0.25">
      <c r="A314" s="7" t="s">
        <v>651</v>
      </c>
      <c r="B314" s="4" t="s">
        <v>688</v>
      </c>
      <c r="C314" s="5" t="str">
        <f t="shared" si="44"/>
        <v>12</v>
      </c>
      <c r="D314" s="5" t="str">
        <f t="shared" si="45"/>
        <v>05</v>
      </c>
      <c r="E314" s="4" t="s">
        <v>30</v>
      </c>
      <c r="F314" s="4" t="s">
        <v>31</v>
      </c>
      <c r="G314" s="8" t="str">
        <f t="shared" si="46"/>
        <v>12/05/2021</v>
      </c>
      <c r="H314" s="4" t="s">
        <v>1</v>
      </c>
      <c r="I314" s="4" t="s">
        <v>0</v>
      </c>
      <c r="J314" s="7" t="s">
        <v>829</v>
      </c>
      <c r="K314" s="7" t="s">
        <v>172</v>
      </c>
      <c r="L314" s="9" t="str">
        <f>+VLOOKUP(K314,'[1]BASE DE PROVEEDORES'!$A:$B,2,0)</f>
        <v>MANEJO INTEGRAL DE DESECHOS SOLIDOS SEM DE C.V.</v>
      </c>
      <c r="M314" s="10">
        <v>0</v>
      </c>
      <c r="N314" s="7" t="s">
        <v>2</v>
      </c>
      <c r="O314" s="7" t="s">
        <v>2</v>
      </c>
      <c r="P314" s="10">
        <v>56.26</v>
      </c>
      <c r="Q314" s="29" t="s">
        <v>2</v>
      </c>
      <c r="R314" s="32" t="s">
        <v>2</v>
      </c>
      <c r="S314" s="32" t="s">
        <v>2</v>
      </c>
      <c r="T314" s="29">
        <v>7.31</v>
      </c>
      <c r="U314" s="29">
        <f t="shared" si="47"/>
        <v>63.57</v>
      </c>
      <c r="V314" s="4" t="s">
        <v>3</v>
      </c>
      <c r="X314" s="3">
        <f t="shared" si="48"/>
        <v>7.31</v>
      </c>
    </row>
    <row r="315" spans="1:24" hidden="1" x14ac:dyDescent="0.25">
      <c r="A315" s="7" t="s">
        <v>651</v>
      </c>
      <c r="B315" s="4" t="s">
        <v>688</v>
      </c>
      <c r="C315" s="5" t="str">
        <f t="shared" si="44"/>
        <v>12</v>
      </c>
      <c r="D315" s="5" t="str">
        <f t="shared" si="45"/>
        <v>05</v>
      </c>
      <c r="E315" s="4" t="s">
        <v>30</v>
      </c>
      <c r="F315" s="4" t="s">
        <v>31</v>
      </c>
      <c r="G315" s="8" t="str">
        <f t="shared" si="46"/>
        <v>12/05/2021</v>
      </c>
      <c r="H315" s="4" t="s">
        <v>1</v>
      </c>
      <c r="I315" s="4" t="s">
        <v>0</v>
      </c>
      <c r="J315" s="7" t="s">
        <v>842</v>
      </c>
      <c r="K315" s="7" t="s">
        <v>172</v>
      </c>
      <c r="L315" s="9" t="str">
        <f>+VLOOKUP(K315,'[1]BASE DE PROVEEDORES'!$A:$B,2,0)</f>
        <v>MANEJO INTEGRAL DE DESECHOS SOLIDOS SEM DE C.V.</v>
      </c>
      <c r="M315" s="10">
        <v>0</v>
      </c>
      <c r="N315" s="7" t="s">
        <v>2</v>
      </c>
      <c r="O315" s="7" t="s">
        <v>2</v>
      </c>
      <c r="P315" s="10">
        <v>56.26</v>
      </c>
      <c r="Q315" s="29" t="s">
        <v>2</v>
      </c>
      <c r="R315" s="32" t="s">
        <v>2</v>
      </c>
      <c r="S315" s="32" t="s">
        <v>2</v>
      </c>
      <c r="T315" s="29">
        <v>7.31</v>
      </c>
      <c r="U315" s="29">
        <f t="shared" si="47"/>
        <v>63.57</v>
      </c>
      <c r="V315" s="4" t="s">
        <v>3</v>
      </c>
      <c r="X315" s="3">
        <f t="shared" si="48"/>
        <v>7.31</v>
      </c>
    </row>
    <row r="316" spans="1:24" hidden="1" x14ac:dyDescent="0.25">
      <c r="A316" s="7" t="s">
        <v>651</v>
      </c>
      <c r="B316" s="4" t="s">
        <v>690</v>
      </c>
      <c r="C316" s="5" t="str">
        <f t="shared" si="44"/>
        <v>13</v>
      </c>
      <c r="D316" s="5" t="str">
        <f t="shared" si="45"/>
        <v>05</v>
      </c>
      <c r="E316" s="4" t="s">
        <v>30</v>
      </c>
      <c r="F316" s="4" t="s">
        <v>31</v>
      </c>
      <c r="G316" s="8" t="str">
        <f t="shared" si="46"/>
        <v>13/05/2021</v>
      </c>
      <c r="H316" s="4" t="s">
        <v>1</v>
      </c>
      <c r="I316" s="4" t="s">
        <v>0</v>
      </c>
      <c r="J316" s="7" t="s">
        <v>691</v>
      </c>
      <c r="K316" s="7" t="s">
        <v>45</v>
      </c>
      <c r="L316" s="9" t="str">
        <f>+VLOOKUP(K316,'[1]BASE DE PROVEEDORES'!$A:$B,2,0)</f>
        <v>JOSE RICARDO ANTONIO MOLINA</v>
      </c>
      <c r="M316" s="10">
        <f>1.3+0.65</f>
        <v>1.9500000000000002</v>
      </c>
      <c r="N316" s="7" t="s">
        <v>2</v>
      </c>
      <c r="O316" s="7" t="s">
        <v>2</v>
      </c>
      <c r="P316" s="10">
        <v>15.09</v>
      </c>
      <c r="Q316" s="29" t="s">
        <v>2</v>
      </c>
      <c r="R316" s="32" t="s">
        <v>2</v>
      </c>
      <c r="S316" s="32" t="s">
        <v>2</v>
      </c>
      <c r="T316" s="29">
        <v>1.96</v>
      </c>
      <c r="U316" s="29">
        <f t="shared" si="47"/>
        <v>19</v>
      </c>
      <c r="V316" s="4" t="s">
        <v>3</v>
      </c>
      <c r="X316" s="3">
        <f t="shared" si="48"/>
        <v>1.96</v>
      </c>
    </row>
    <row r="317" spans="1:24" hidden="1" x14ac:dyDescent="0.25">
      <c r="A317" s="7" t="s">
        <v>651</v>
      </c>
      <c r="B317" s="4" t="s">
        <v>690</v>
      </c>
      <c r="C317" s="5" t="str">
        <f t="shared" si="44"/>
        <v>13</v>
      </c>
      <c r="D317" s="5" t="str">
        <f t="shared" si="45"/>
        <v>05</v>
      </c>
      <c r="E317" s="4" t="s">
        <v>30</v>
      </c>
      <c r="F317" s="4" t="s">
        <v>31</v>
      </c>
      <c r="G317" s="8" t="str">
        <f t="shared" si="46"/>
        <v>13/05/2021</v>
      </c>
      <c r="H317" s="4" t="s">
        <v>1</v>
      </c>
      <c r="I317" s="4" t="s">
        <v>0</v>
      </c>
      <c r="J317" s="7" t="s">
        <v>692</v>
      </c>
      <c r="K317" s="7" t="s">
        <v>45</v>
      </c>
      <c r="L317" s="9" t="str">
        <f>+VLOOKUP(K317,'[1]BASE DE PROVEEDORES'!$A:$B,2,0)</f>
        <v>JOSE RICARDO ANTONIO MOLINA</v>
      </c>
      <c r="M317" s="10">
        <f>7.33+3.66</f>
        <v>10.99</v>
      </c>
      <c r="N317" s="7" t="s">
        <v>2</v>
      </c>
      <c r="O317" s="7" t="s">
        <v>2</v>
      </c>
      <c r="P317" s="10">
        <v>84.96</v>
      </c>
      <c r="Q317" s="29" t="s">
        <v>2</v>
      </c>
      <c r="R317" s="32" t="s">
        <v>2</v>
      </c>
      <c r="S317" s="32" t="s">
        <v>2</v>
      </c>
      <c r="T317" s="29">
        <v>11.04</v>
      </c>
      <c r="U317" s="29">
        <f t="shared" si="47"/>
        <v>106.98999999999998</v>
      </c>
      <c r="V317" s="4" t="s">
        <v>3</v>
      </c>
      <c r="X317" s="3">
        <f t="shared" si="48"/>
        <v>11.04</v>
      </c>
    </row>
    <row r="318" spans="1:24" hidden="1" x14ac:dyDescent="0.25">
      <c r="A318" s="7" t="s">
        <v>651</v>
      </c>
      <c r="B318" s="4" t="s">
        <v>690</v>
      </c>
      <c r="C318" s="5" t="str">
        <f t="shared" si="44"/>
        <v>13</v>
      </c>
      <c r="D318" s="5" t="str">
        <f t="shared" si="45"/>
        <v>05</v>
      </c>
      <c r="E318" s="4" t="s">
        <v>30</v>
      </c>
      <c r="F318" s="4" t="s">
        <v>31</v>
      </c>
      <c r="G318" s="8" t="str">
        <f t="shared" si="46"/>
        <v>13/05/2021</v>
      </c>
      <c r="H318" s="4" t="s">
        <v>1</v>
      </c>
      <c r="I318" s="4" t="s">
        <v>0</v>
      </c>
      <c r="J318" s="7" t="s">
        <v>752</v>
      </c>
      <c r="K318" s="7" t="s">
        <v>753</v>
      </c>
      <c r="L318" s="9" t="str">
        <f>+VLOOKUP(K318,'[1]BASE DE PROVEEDORES'!$A:$B,2,0)</f>
        <v>SERTRACEN S.A DE C.V.</v>
      </c>
      <c r="M318" s="10">
        <v>0</v>
      </c>
      <c r="N318" s="7" t="s">
        <v>2</v>
      </c>
      <c r="O318" s="7" t="s">
        <v>2</v>
      </c>
      <c r="P318" s="10">
        <v>30.86</v>
      </c>
      <c r="Q318" s="29" t="s">
        <v>2</v>
      </c>
      <c r="R318" s="32" t="s">
        <v>2</v>
      </c>
      <c r="S318" s="32" t="s">
        <v>2</v>
      </c>
      <c r="T318" s="29">
        <v>4.01</v>
      </c>
      <c r="U318" s="29">
        <f t="shared" si="47"/>
        <v>34.869999999999997</v>
      </c>
      <c r="V318" s="4" t="s">
        <v>3</v>
      </c>
      <c r="X318" s="3">
        <f t="shared" si="48"/>
        <v>4.01</v>
      </c>
    </row>
    <row r="319" spans="1:24" hidden="1" x14ac:dyDescent="0.25">
      <c r="A319" s="7" t="s">
        <v>651</v>
      </c>
      <c r="B319" s="4" t="s">
        <v>690</v>
      </c>
      <c r="C319" s="5" t="str">
        <f t="shared" si="44"/>
        <v>13</v>
      </c>
      <c r="D319" s="5" t="str">
        <f t="shared" si="45"/>
        <v>05</v>
      </c>
      <c r="E319" s="4" t="s">
        <v>30</v>
      </c>
      <c r="F319" s="4" t="s">
        <v>31</v>
      </c>
      <c r="G319" s="8" t="str">
        <f t="shared" si="46"/>
        <v>13/05/2021</v>
      </c>
      <c r="H319" s="4" t="s">
        <v>1</v>
      </c>
      <c r="I319" s="4" t="s">
        <v>0</v>
      </c>
      <c r="J319" s="7" t="s">
        <v>569</v>
      </c>
      <c r="K319" s="7" t="s">
        <v>119</v>
      </c>
      <c r="L319" s="9" t="str">
        <f>+VLOOKUP(K319,'[1]BASE DE PROVEEDORES'!$A:$B,2,0)</f>
        <v>EFRAIN MEDARDO PEÑA</v>
      </c>
      <c r="M319" s="10">
        <v>0</v>
      </c>
      <c r="N319" s="7" t="s">
        <v>2</v>
      </c>
      <c r="O319" s="7" t="s">
        <v>2</v>
      </c>
      <c r="P319" s="10">
        <v>18.05</v>
      </c>
      <c r="Q319" s="29" t="s">
        <v>2</v>
      </c>
      <c r="R319" s="32" t="s">
        <v>2</v>
      </c>
      <c r="S319" s="32" t="s">
        <v>2</v>
      </c>
      <c r="T319" s="29">
        <v>2.35</v>
      </c>
      <c r="U319" s="29">
        <f t="shared" si="47"/>
        <v>20.400000000000002</v>
      </c>
      <c r="V319" s="4" t="s">
        <v>3</v>
      </c>
      <c r="X319" s="3">
        <f t="shared" si="48"/>
        <v>2.35</v>
      </c>
    </row>
    <row r="320" spans="1:24" hidden="1" x14ac:dyDescent="0.25">
      <c r="A320" s="7" t="s">
        <v>651</v>
      </c>
      <c r="B320" s="4" t="s">
        <v>690</v>
      </c>
      <c r="C320" s="5" t="str">
        <f t="shared" si="44"/>
        <v>13</v>
      </c>
      <c r="D320" s="5" t="str">
        <f t="shared" si="45"/>
        <v>05</v>
      </c>
      <c r="E320" s="4" t="s">
        <v>30</v>
      </c>
      <c r="F320" s="4" t="s">
        <v>31</v>
      </c>
      <c r="G320" s="8" t="str">
        <f t="shared" si="46"/>
        <v>13/05/2021</v>
      </c>
      <c r="H320" s="4" t="s">
        <v>1</v>
      </c>
      <c r="I320" s="4" t="s">
        <v>0</v>
      </c>
      <c r="J320" s="7" t="s">
        <v>800</v>
      </c>
      <c r="K320" s="7" t="s">
        <v>167</v>
      </c>
      <c r="L320" s="9" t="str">
        <f>+VLOOKUP(K320,'[1]BASE DE PROVEEDORES'!$A:$B,2,0)</f>
        <v>PROVEEDORES DE INSUMOS DIVERSOS S.A DE C.V.</v>
      </c>
      <c r="M320" s="10">
        <v>0</v>
      </c>
      <c r="N320" s="7" t="s">
        <v>2</v>
      </c>
      <c r="O320" s="7" t="s">
        <v>2</v>
      </c>
      <c r="P320" s="10">
        <v>10.5</v>
      </c>
      <c r="Q320" s="29" t="s">
        <v>2</v>
      </c>
      <c r="R320" s="32" t="s">
        <v>2</v>
      </c>
      <c r="S320" s="32" t="s">
        <v>2</v>
      </c>
      <c r="T320" s="29">
        <v>1.37</v>
      </c>
      <c r="U320" s="29">
        <f t="shared" si="47"/>
        <v>11.870000000000001</v>
      </c>
      <c r="V320" s="4" t="s">
        <v>3</v>
      </c>
      <c r="X320" s="3">
        <f t="shared" si="48"/>
        <v>1.37</v>
      </c>
    </row>
    <row r="321" spans="1:24" hidden="1" x14ac:dyDescent="0.25">
      <c r="A321" s="7" t="s">
        <v>651</v>
      </c>
      <c r="B321" s="4" t="s">
        <v>690</v>
      </c>
      <c r="C321" s="5" t="str">
        <f t="shared" si="44"/>
        <v>13</v>
      </c>
      <c r="D321" s="5" t="str">
        <f t="shared" si="45"/>
        <v>05</v>
      </c>
      <c r="E321" s="4" t="s">
        <v>30</v>
      </c>
      <c r="F321" s="4" t="s">
        <v>31</v>
      </c>
      <c r="G321" s="8" t="str">
        <f t="shared" si="46"/>
        <v>13/05/2021</v>
      </c>
      <c r="H321" s="4" t="s">
        <v>1</v>
      </c>
      <c r="I321" s="4" t="s">
        <v>0</v>
      </c>
      <c r="J321" s="7" t="s">
        <v>811</v>
      </c>
      <c r="K321" s="7" t="s">
        <v>172</v>
      </c>
      <c r="L321" s="9" t="str">
        <f>+VLOOKUP(K321,'[1]BASE DE PROVEEDORES'!$A:$B,2,0)</f>
        <v>MANEJO INTEGRAL DE DESECHOS SOLIDOS SEM DE C.V.</v>
      </c>
      <c r="M321" s="10">
        <v>0</v>
      </c>
      <c r="N321" s="7" t="s">
        <v>2</v>
      </c>
      <c r="O321" s="7" t="s">
        <v>2</v>
      </c>
      <c r="P321" s="10">
        <v>33.97</v>
      </c>
      <c r="Q321" s="29" t="s">
        <v>2</v>
      </c>
      <c r="R321" s="32" t="s">
        <v>2</v>
      </c>
      <c r="S321" s="32" t="s">
        <v>2</v>
      </c>
      <c r="T321" s="29">
        <v>4.42</v>
      </c>
      <c r="U321" s="29">
        <f t="shared" si="47"/>
        <v>38.39</v>
      </c>
      <c r="V321" s="4" t="s">
        <v>3</v>
      </c>
      <c r="X321" s="3">
        <f t="shared" si="48"/>
        <v>4.42</v>
      </c>
    </row>
    <row r="322" spans="1:24" hidden="1" x14ac:dyDescent="0.25">
      <c r="A322" s="7" t="s">
        <v>651</v>
      </c>
      <c r="B322" s="4" t="s">
        <v>618</v>
      </c>
      <c r="C322" s="5" t="str">
        <f t="shared" si="44"/>
        <v>14</v>
      </c>
      <c r="D322" s="5" t="str">
        <f t="shared" si="45"/>
        <v>05</v>
      </c>
      <c r="E322" s="4" t="s">
        <v>30</v>
      </c>
      <c r="F322" s="4" t="s">
        <v>31</v>
      </c>
      <c r="G322" s="8" t="str">
        <f t="shared" si="46"/>
        <v>14/05/2021</v>
      </c>
      <c r="H322" s="4" t="s">
        <v>1</v>
      </c>
      <c r="I322" s="4" t="s">
        <v>0</v>
      </c>
      <c r="J322" s="7" t="s">
        <v>693</v>
      </c>
      <c r="K322" s="7" t="s">
        <v>45</v>
      </c>
      <c r="L322" s="9" t="str">
        <f>+VLOOKUP(K322,'[1]BASE DE PROVEEDORES'!$A:$B,2,0)</f>
        <v>JOSE RICARDO ANTONIO MOLINA</v>
      </c>
      <c r="M322" s="10">
        <f>8.42+4.21</f>
        <v>12.629999999999999</v>
      </c>
      <c r="N322" s="7" t="s">
        <v>2</v>
      </c>
      <c r="O322" s="7" t="s">
        <v>2</v>
      </c>
      <c r="P322" s="10">
        <v>97.56</v>
      </c>
      <c r="Q322" s="29" t="s">
        <v>2</v>
      </c>
      <c r="R322" s="32" t="s">
        <v>2</v>
      </c>
      <c r="S322" s="32" t="s">
        <v>2</v>
      </c>
      <c r="T322" s="29">
        <v>12.68</v>
      </c>
      <c r="U322" s="29">
        <f t="shared" si="47"/>
        <v>122.87</v>
      </c>
      <c r="V322" s="4" t="s">
        <v>3</v>
      </c>
      <c r="X322" s="3">
        <f t="shared" si="48"/>
        <v>12.68</v>
      </c>
    </row>
    <row r="323" spans="1:24" hidden="1" x14ac:dyDescent="0.25">
      <c r="A323" s="7" t="s">
        <v>651</v>
      </c>
      <c r="B323" s="4" t="s">
        <v>618</v>
      </c>
      <c r="C323" s="5" t="str">
        <f t="shared" si="44"/>
        <v>14</v>
      </c>
      <c r="D323" s="5" t="str">
        <f t="shared" si="45"/>
        <v>05</v>
      </c>
      <c r="E323" s="4" t="s">
        <v>30</v>
      </c>
      <c r="F323" s="4" t="s">
        <v>31</v>
      </c>
      <c r="G323" s="8" t="str">
        <f t="shared" si="46"/>
        <v>14/05/2021</v>
      </c>
      <c r="H323" s="4" t="s">
        <v>1</v>
      </c>
      <c r="I323" s="4" t="s">
        <v>0</v>
      </c>
      <c r="J323" s="7" t="s">
        <v>734</v>
      </c>
      <c r="K323" s="7" t="s">
        <v>28</v>
      </c>
      <c r="L323" s="9" t="str">
        <f>+VLOOKUP(K323,'[1]BASE DE PROVEEDORES'!$A:$B,2,0)</f>
        <v xml:space="preserve">ACTIVIDADES PETROLERAS DE EL SALVADOR S.A DE C.V </v>
      </c>
      <c r="M323" s="10">
        <f>1.05+0.52</f>
        <v>1.57</v>
      </c>
      <c r="N323" s="7" t="s">
        <v>2</v>
      </c>
      <c r="O323" s="7" t="s">
        <v>2</v>
      </c>
      <c r="P323" s="10">
        <v>12.22</v>
      </c>
      <c r="Q323" s="29" t="s">
        <v>2</v>
      </c>
      <c r="R323" s="32" t="s">
        <v>2</v>
      </c>
      <c r="S323" s="32" t="s">
        <v>2</v>
      </c>
      <c r="T323" s="29">
        <v>1.59</v>
      </c>
      <c r="U323" s="29">
        <f t="shared" si="47"/>
        <v>15.38</v>
      </c>
      <c r="V323" s="4" t="s">
        <v>3</v>
      </c>
      <c r="X323" s="3">
        <f t="shared" si="48"/>
        <v>1.59</v>
      </c>
    </row>
    <row r="324" spans="1:24" hidden="1" x14ac:dyDescent="0.25">
      <c r="A324" s="7" t="s">
        <v>651</v>
      </c>
      <c r="B324" s="4" t="s">
        <v>618</v>
      </c>
      <c r="C324" s="5" t="str">
        <f t="shared" si="44"/>
        <v>14</v>
      </c>
      <c r="D324" s="5" t="str">
        <f t="shared" si="45"/>
        <v>05</v>
      </c>
      <c r="E324" s="4" t="s">
        <v>30</v>
      </c>
      <c r="F324" s="4" t="s">
        <v>31</v>
      </c>
      <c r="G324" s="8" t="str">
        <f t="shared" si="46"/>
        <v>14/05/2021</v>
      </c>
      <c r="H324" s="4" t="s">
        <v>1</v>
      </c>
      <c r="I324" s="4" t="s">
        <v>0</v>
      </c>
      <c r="J324" s="7" t="s">
        <v>822</v>
      </c>
      <c r="K324" s="7" t="s">
        <v>172</v>
      </c>
      <c r="L324" s="9" t="str">
        <f>+VLOOKUP(K324,'[1]BASE DE PROVEEDORES'!$A:$B,2,0)</f>
        <v>MANEJO INTEGRAL DE DESECHOS SOLIDOS SEM DE C.V.</v>
      </c>
      <c r="M324" s="10">
        <v>0</v>
      </c>
      <c r="N324" s="7" t="s">
        <v>2</v>
      </c>
      <c r="O324" s="7" t="s">
        <v>2</v>
      </c>
      <c r="P324" s="10">
        <v>44.08</v>
      </c>
      <c r="Q324" s="29" t="s">
        <v>2</v>
      </c>
      <c r="R324" s="32" t="s">
        <v>2</v>
      </c>
      <c r="S324" s="32" t="s">
        <v>2</v>
      </c>
      <c r="T324" s="29">
        <v>5.73</v>
      </c>
      <c r="U324" s="29">
        <f t="shared" si="47"/>
        <v>49.81</v>
      </c>
      <c r="V324" s="4" t="s">
        <v>3</v>
      </c>
      <c r="X324" s="3">
        <f t="shared" si="48"/>
        <v>5.73</v>
      </c>
    </row>
    <row r="325" spans="1:24" hidden="1" x14ac:dyDescent="0.25">
      <c r="A325" s="7" t="s">
        <v>651</v>
      </c>
      <c r="B325" s="4" t="s">
        <v>618</v>
      </c>
      <c r="C325" s="5" t="str">
        <f t="shared" si="44"/>
        <v>14</v>
      </c>
      <c r="D325" s="5" t="str">
        <f t="shared" si="45"/>
        <v>05</v>
      </c>
      <c r="E325" s="4" t="s">
        <v>30</v>
      </c>
      <c r="F325" s="4" t="s">
        <v>31</v>
      </c>
      <c r="G325" s="8" t="str">
        <f t="shared" si="46"/>
        <v>14/05/2021</v>
      </c>
      <c r="H325" s="4" t="s">
        <v>1</v>
      </c>
      <c r="I325" s="4" t="s">
        <v>0</v>
      </c>
      <c r="J325" s="7" t="s">
        <v>830</v>
      </c>
      <c r="K325" s="7" t="s">
        <v>172</v>
      </c>
      <c r="L325" s="9" t="str">
        <f>+VLOOKUP(K325,'[1]BASE DE PROVEEDORES'!$A:$B,2,0)</f>
        <v>MANEJO INTEGRAL DE DESECHOS SOLIDOS SEM DE C.V.</v>
      </c>
      <c r="M325" s="10">
        <v>0</v>
      </c>
      <c r="N325" s="7" t="s">
        <v>2</v>
      </c>
      <c r="O325" s="7" t="s">
        <v>2</v>
      </c>
      <c r="P325" s="10">
        <v>56.26</v>
      </c>
      <c r="Q325" s="29" t="s">
        <v>2</v>
      </c>
      <c r="R325" s="32" t="s">
        <v>2</v>
      </c>
      <c r="S325" s="32" t="s">
        <v>2</v>
      </c>
      <c r="T325" s="29">
        <v>7.31</v>
      </c>
      <c r="U325" s="29">
        <f t="shared" si="47"/>
        <v>63.57</v>
      </c>
      <c r="V325" s="4" t="s">
        <v>3</v>
      </c>
      <c r="X325" s="3">
        <f t="shared" si="48"/>
        <v>7.31</v>
      </c>
    </row>
    <row r="326" spans="1:24" hidden="1" x14ac:dyDescent="0.25">
      <c r="A326" s="7" t="s">
        <v>651</v>
      </c>
      <c r="B326" s="4" t="s">
        <v>694</v>
      </c>
      <c r="C326" s="5" t="str">
        <f t="shared" si="44"/>
        <v>15</v>
      </c>
      <c r="D326" s="5" t="str">
        <f t="shared" si="45"/>
        <v>05</v>
      </c>
      <c r="E326" s="4" t="s">
        <v>30</v>
      </c>
      <c r="F326" s="4" t="s">
        <v>31</v>
      </c>
      <c r="G326" s="8" t="str">
        <f t="shared" si="46"/>
        <v>15/05/2021</v>
      </c>
      <c r="H326" s="4" t="s">
        <v>1</v>
      </c>
      <c r="I326" s="4" t="s">
        <v>0</v>
      </c>
      <c r="J326" s="7" t="s">
        <v>695</v>
      </c>
      <c r="K326" s="7" t="s">
        <v>45</v>
      </c>
      <c r="L326" s="9" t="str">
        <f>+VLOOKUP(K326,'[1]BASE DE PROVEEDORES'!$A:$B,2,0)</f>
        <v>JOSE RICARDO ANTONIO MOLINA</v>
      </c>
      <c r="M326" s="10">
        <f>5.09+2.54</f>
        <v>7.63</v>
      </c>
      <c r="N326" s="7" t="s">
        <v>2</v>
      </c>
      <c r="O326" s="7" t="s">
        <v>2</v>
      </c>
      <c r="P326" s="10">
        <v>58.98</v>
      </c>
      <c r="Q326" s="29" t="s">
        <v>2</v>
      </c>
      <c r="R326" s="32" t="s">
        <v>2</v>
      </c>
      <c r="S326" s="32" t="s">
        <v>2</v>
      </c>
      <c r="T326" s="29">
        <v>7.67</v>
      </c>
      <c r="U326" s="29">
        <f t="shared" si="47"/>
        <v>74.28</v>
      </c>
      <c r="V326" s="4" t="s">
        <v>3</v>
      </c>
      <c r="X326" s="3">
        <f t="shared" si="48"/>
        <v>7.67</v>
      </c>
    </row>
    <row r="327" spans="1:24" hidden="1" x14ac:dyDescent="0.25">
      <c r="A327" s="7" t="s">
        <v>651</v>
      </c>
      <c r="B327" s="4" t="s">
        <v>694</v>
      </c>
      <c r="C327" s="5" t="str">
        <f t="shared" si="44"/>
        <v>15</v>
      </c>
      <c r="D327" s="5" t="str">
        <f t="shared" si="45"/>
        <v>05</v>
      </c>
      <c r="E327" s="4" t="s">
        <v>30</v>
      </c>
      <c r="F327" s="4" t="s">
        <v>31</v>
      </c>
      <c r="G327" s="8" t="str">
        <f t="shared" si="46"/>
        <v>15/05/2021</v>
      </c>
      <c r="H327" s="4" t="s">
        <v>1</v>
      </c>
      <c r="I327" s="4" t="s">
        <v>0</v>
      </c>
      <c r="J327" s="7" t="s">
        <v>767</v>
      </c>
      <c r="K327" s="7" t="s">
        <v>252</v>
      </c>
      <c r="L327" s="9" t="str">
        <f>+VLOOKUP(K327,'[1]BASE DE PROVEEDORES'!$A:$B,2,0)</f>
        <v xml:space="preserve">BANCO AGRICOLA, S.A </v>
      </c>
      <c r="M327" s="10">
        <v>0</v>
      </c>
      <c r="N327" s="7" t="s">
        <v>2</v>
      </c>
      <c r="O327" s="7" t="s">
        <v>2</v>
      </c>
      <c r="P327" s="10">
        <v>30</v>
      </c>
      <c r="Q327" s="29" t="s">
        <v>2</v>
      </c>
      <c r="R327" s="32" t="s">
        <v>2</v>
      </c>
      <c r="S327" s="32" t="s">
        <v>2</v>
      </c>
      <c r="T327" s="29">
        <v>3.9</v>
      </c>
      <c r="U327" s="29">
        <f t="shared" si="47"/>
        <v>33.9</v>
      </c>
      <c r="V327" s="4" t="s">
        <v>3</v>
      </c>
      <c r="X327" s="3">
        <f t="shared" si="48"/>
        <v>3.9</v>
      </c>
    </row>
    <row r="328" spans="1:24" hidden="1" x14ac:dyDescent="0.25">
      <c r="A328" s="7" t="s">
        <v>651</v>
      </c>
      <c r="B328" s="4" t="s">
        <v>694</v>
      </c>
      <c r="C328" s="5" t="str">
        <f t="shared" si="44"/>
        <v>15</v>
      </c>
      <c r="D328" s="5" t="str">
        <f t="shared" si="45"/>
        <v>05</v>
      </c>
      <c r="E328" s="4" t="s">
        <v>30</v>
      </c>
      <c r="F328" s="4" t="s">
        <v>31</v>
      </c>
      <c r="G328" s="8" t="str">
        <f t="shared" si="46"/>
        <v>15/05/2021</v>
      </c>
      <c r="H328" s="4" t="s">
        <v>1</v>
      </c>
      <c r="I328" s="4" t="s">
        <v>0</v>
      </c>
      <c r="J328" s="7" t="s">
        <v>812</v>
      </c>
      <c r="K328" s="7" t="s">
        <v>172</v>
      </c>
      <c r="L328" s="9" t="str">
        <f>+VLOOKUP(K328,'[1]BASE DE PROVEEDORES'!$A:$B,2,0)</f>
        <v>MANEJO INTEGRAL DE DESECHOS SOLIDOS SEM DE C.V.</v>
      </c>
      <c r="M328" s="10">
        <v>0</v>
      </c>
      <c r="N328" s="7" t="s">
        <v>2</v>
      </c>
      <c r="O328" s="7" t="s">
        <v>2</v>
      </c>
      <c r="P328" s="10">
        <v>42.68</v>
      </c>
      <c r="Q328" s="29" t="s">
        <v>2</v>
      </c>
      <c r="R328" s="32" t="s">
        <v>2</v>
      </c>
      <c r="S328" s="32" t="s">
        <v>2</v>
      </c>
      <c r="T328" s="29">
        <v>5.55</v>
      </c>
      <c r="U328" s="29">
        <f t="shared" si="47"/>
        <v>48.23</v>
      </c>
      <c r="V328" s="4" t="s">
        <v>3</v>
      </c>
      <c r="X328" s="3">
        <f t="shared" si="48"/>
        <v>5.55</v>
      </c>
    </row>
    <row r="329" spans="1:24" hidden="1" x14ac:dyDescent="0.25">
      <c r="A329" s="7" t="s">
        <v>651</v>
      </c>
      <c r="B329" s="4" t="s">
        <v>696</v>
      </c>
      <c r="C329" s="5" t="str">
        <f t="shared" si="44"/>
        <v>17</v>
      </c>
      <c r="D329" s="5" t="str">
        <f t="shared" si="45"/>
        <v>05</v>
      </c>
      <c r="E329" s="4" t="s">
        <v>30</v>
      </c>
      <c r="F329" s="4" t="s">
        <v>31</v>
      </c>
      <c r="G329" s="8" t="str">
        <f t="shared" si="46"/>
        <v>17/05/2021</v>
      </c>
      <c r="H329" s="4" t="s">
        <v>1</v>
      </c>
      <c r="I329" s="4" t="s">
        <v>0</v>
      </c>
      <c r="J329" s="7" t="s">
        <v>697</v>
      </c>
      <c r="K329" s="7" t="s">
        <v>45</v>
      </c>
      <c r="L329" s="9" t="str">
        <f>+VLOOKUP(K329,'[1]BASE DE PROVEEDORES'!$A:$B,2,0)</f>
        <v>JOSE RICARDO ANTONIO MOLINA</v>
      </c>
      <c r="M329" s="10">
        <f>9.59+4.79</f>
        <v>14.379999999999999</v>
      </c>
      <c r="N329" s="7" t="s">
        <v>2</v>
      </c>
      <c r="O329" s="7" t="s">
        <v>2</v>
      </c>
      <c r="P329" s="10">
        <v>111.17</v>
      </c>
      <c r="Q329" s="29" t="s">
        <v>2</v>
      </c>
      <c r="R329" s="32" t="s">
        <v>2</v>
      </c>
      <c r="S329" s="32" t="s">
        <v>2</v>
      </c>
      <c r="T329" s="29">
        <v>14.45</v>
      </c>
      <c r="U329" s="29">
        <f t="shared" si="47"/>
        <v>140</v>
      </c>
      <c r="V329" s="4" t="s">
        <v>3</v>
      </c>
      <c r="X329" s="3">
        <f t="shared" si="48"/>
        <v>14.45</v>
      </c>
    </row>
    <row r="330" spans="1:24" hidden="1" x14ac:dyDescent="0.25">
      <c r="A330" s="7" t="s">
        <v>651</v>
      </c>
      <c r="B330" s="4" t="s">
        <v>696</v>
      </c>
      <c r="C330" s="5" t="str">
        <f t="shared" si="44"/>
        <v>17</v>
      </c>
      <c r="D330" s="5" t="str">
        <f t="shared" si="45"/>
        <v>05</v>
      </c>
      <c r="E330" s="4" t="s">
        <v>30</v>
      </c>
      <c r="F330" s="4" t="s">
        <v>31</v>
      </c>
      <c r="G330" s="8" t="str">
        <f t="shared" si="46"/>
        <v>17/05/2021</v>
      </c>
      <c r="H330" s="4" t="s">
        <v>1</v>
      </c>
      <c r="I330" s="4" t="s">
        <v>0</v>
      </c>
      <c r="J330" s="7" t="s">
        <v>698</v>
      </c>
      <c r="K330" s="7" t="s">
        <v>45</v>
      </c>
      <c r="L330" s="9" t="str">
        <f>+VLOOKUP(K330,'[1]BASE DE PROVEEDORES'!$A:$B,2,0)</f>
        <v>JOSE RICARDO ANTONIO MOLINA</v>
      </c>
      <c r="M330" s="10">
        <f>1.4+0.7</f>
        <v>2.0999999999999996</v>
      </c>
      <c r="N330" s="7" t="s">
        <v>2</v>
      </c>
      <c r="O330" s="7" t="s">
        <v>2</v>
      </c>
      <c r="P330" s="10">
        <v>16.28</v>
      </c>
      <c r="Q330" s="29" t="s">
        <v>2</v>
      </c>
      <c r="R330" s="32" t="s">
        <v>2</v>
      </c>
      <c r="S330" s="32" t="s">
        <v>2</v>
      </c>
      <c r="T330" s="29">
        <v>2.12</v>
      </c>
      <c r="U330" s="29">
        <f t="shared" si="47"/>
        <v>20.500000000000004</v>
      </c>
      <c r="V330" s="4" t="s">
        <v>3</v>
      </c>
      <c r="X330" s="3">
        <f t="shared" si="48"/>
        <v>2.12</v>
      </c>
    </row>
    <row r="331" spans="1:24" hidden="1" x14ac:dyDescent="0.25">
      <c r="A331" s="7" t="s">
        <v>651</v>
      </c>
      <c r="B331" s="4" t="s">
        <v>696</v>
      </c>
      <c r="C331" s="5" t="str">
        <f t="shared" si="44"/>
        <v>17</v>
      </c>
      <c r="D331" s="5" t="str">
        <f t="shared" si="45"/>
        <v>05</v>
      </c>
      <c r="E331" s="4" t="s">
        <v>30</v>
      </c>
      <c r="F331" s="4" t="s">
        <v>31</v>
      </c>
      <c r="G331" s="8" t="str">
        <f t="shared" si="46"/>
        <v>17/05/2021</v>
      </c>
      <c r="H331" s="4" t="s">
        <v>1</v>
      </c>
      <c r="I331" s="4" t="s">
        <v>0</v>
      </c>
      <c r="J331" s="7" t="s">
        <v>732</v>
      </c>
      <c r="K331" s="7" t="s">
        <v>28</v>
      </c>
      <c r="L331" s="9" t="str">
        <f>+VLOOKUP(K331,'[1]BASE DE PROVEEDORES'!$A:$B,2,0)</f>
        <v xml:space="preserve">ACTIVIDADES PETROLERAS DE EL SALVADOR S.A DE C.V </v>
      </c>
      <c r="M331" s="10">
        <f>1.97+0.98</f>
        <v>2.95</v>
      </c>
      <c r="N331" s="7" t="s">
        <v>2</v>
      </c>
      <c r="O331" s="7" t="s">
        <v>2</v>
      </c>
      <c r="P331" s="10">
        <v>30.12</v>
      </c>
      <c r="Q331" s="29" t="s">
        <v>2</v>
      </c>
      <c r="R331" s="32" t="s">
        <v>2</v>
      </c>
      <c r="S331" s="32" t="s">
        <v>2</v>
      </c>
      <c r="T331" s="29">
        <v>3.92</v>
      </c>
      <c r="U331" s="29">
        <f t="shared" si="47"/>
        <v>36.99</v>
      </c>
      <c r="V331" s="4" t="s">
        <v>3</v>
      </c>
      <c r="X331" s="3">
        <f t="shared" si="48"/>
        <v>3.92</v>
      </c>
    </row>
    <row r="332" spans="1:24" hidden="1" x14ac:dyDescent="0.25">
      <c r="A332" s="7" t="s">
        <v>651</v>
      </c>
      <c r="B332" s="4" t="s">
        <v>696</v>
      </c>
      <c r="C332" s="5" t="str">
        <f t="shared" si="44"/>
        <v>17</v>
      </c>
      <c r="D332" s="5" t="str">
        <f t="shared" si="45"/>
        <v>05</v>
      </c>
      <c r="E332" s="4" t="s">
        <v>30</v>
      </c>
      <c r="F332" s="4" t="s">
        <v>31</v>
      </c>
      <c r="G332" s="8" t="str">
        <f t="shared" si="46"/>
        <v>17/05/2021</v>
      </c>
      <c r="H332" s="4" t="s">
        <v>1</v>
      </c>
      <c r="I332" s="4" t="s">
        <v>0</v>
      </c>
      <c r="J332" s="7" t="s">
        <v>733</v>
      </c>
      <c r="K332" s="7" t="s">
        <v>28</v>
      </c>
      <c r="L332" s="9" t="str">
        <f>+VLOOKUP(K332,'[1]BASE DE PROVEEDORES'!$A:$B,2,0)</f>
        <v xml:space="preserve">ACTIVIDADES PETROLERAS DE EL SALVADOR S.A DE C.V </v>
      </c>
      <c r="M332" s="10">
        <f>2.05+1.02</f>
        <v>3.07</v>
      </c>
      <c r="N332" s="7" t="s">
        <v>2</v>
      </c>
      <c r="O332" s="7" t="s">
        <v>2</v>
      </c>
      <c r="P332" s="10">
        <v>23.82</v>
      </c>
      <c r="Q332" s="29" t="s">
        <v>2</v>
      </c>
      <c r="R332" s="32" t="s">
        <v>2</v>
      </c>
      <c r="S332" s="32" t="s">
        <v>2</v>
      </c>
      <c r="T332" s="29">
        <v>3.1</v>
      </c>
      <c r="U332" s="29">
        <f t="shared" si="47"/>
        <v>29.990000000000002</v>
      </c>
      <c r="V332" s="4" t="s">
        <v>3</v>
      </c>
      <c r="X332" s="3">
        <f t="shared" si="48"/>
        <v>3.1</v>
      </c>
    </row>
    <row r="333" spans="1:24" hidden="1" x14ac:dyDescent="0.25">
      <c r="A333" s="7" t="s">
        <v>651</v>
      </c>
      <c r="B333" s="4" t="s">
        <v>696</v>
      </c>
      <c r="C333" s="5" t="str">
        <f t="shared" si="44"/>
        <v>17</v>
      </c>
      <c r="D333" s="5" t="str">
        <f t="shared" si="45"/>
        <v>05</v>
      </c>
      <c r="E333" s="4" t="s">
        <v>30</v>
      </c>
      <c r="F333" s="4" t="s">
        <v>31</v>
      </c>
      <c r="G333" s="8" t="str">
        <f t="shared" si="46"/>
        <v>17/05/2021</v>
      </c>
      <c r="H333" s="4" t="s">
        <v>1</v>
      </c>
      <c r="I333" s="4" t="s">
        <v>0</v>
      </c>
      <c r="J333" s="7" t="s">
        <v>804</v>
      </c>
      <c r="K333" s="7" t="s">
        <v>172</v>
      </c>
      <c r="L333" s="9" t="str">
        <f>+VLOOKUP(K333,'[1]BASE DE PROVEEDORES'!$A:$B,2,0)</f>
        <v>MANEJO INTEGRAL DE DESECHOS SOLIDOS SEM DE C.V.</v>
      </c>
      <c r="M333" s="10">
        <v>0</v>
      </c>
      <c r="N333" s="7" t="s">
        <v>2</v>
      </c>
      <c r="O333" s="7" t="s">
        <v>2</v>
      </c>
      <c r="P333" s="10">
        <v>56.26</v>
      </c>
      <c r="Q333" s="29" t="s">
        <v>2</v>
      </c>
      <c r="R333" s="32" t="s">
        <v>2</v>
      </c>
      <c r="S333" s="32" t="s">
        <v>2</v>
      </c>
      <c r="T333" s="29">
        <v>7.31</v>
      </c>
      <c r="U333" s="29">
        <f t="shared" si="47"/>
        <v>63.57</v>
      </c>
      <c r="V333" s="4" t="s">
        <v>3</v>
      </c>
      <c r="X333" s="3">
        <f t="shared" si="48"/>
        <v>7.31</v>
      </c>
    </row>
    <row r="334" spans="1:24" hidden="1" x14ac:dyDescent="0.25">
      <c r="A334" s="7" t="s">
        <v>651</v>
      </c>
      <c r="B334" s="4" t="s">
        <v>696</v>
      </c>
      <c r="C334" s="5" t="str">
        <f t="shared" si="44"/>
        <v>17</v>
      </c>
      <c r="D334" s="5" t="str">
        <f t="shared" si="45"/>
        <v>05</v>
      </c>
      <c r="E334" s="4" t="s">
        <v>30</v>
      </c>
      <c r="F334" s="4" t="s">
        <v>31</v>
      </c>
      <c r="G334" s="8" t="str">
        <f t="shared" si="46"/>
        <v>17/05/2021</v>
      </c>
      <c r="H334" s="4" t="s">
        <v>1</v>
      </c>
      <c r="I334" s="4" t="s">
        <v>0</v>
      </c>
      <c r="J334" s="7" t="s">
        <v>831</v>
      </c>
      <c r="K334" s="7" t="s">
        <v>172</v>
      </c>
      <c r="L334" s="9" t="str">
        <f>+VLOOKUP(K334,'[1]BASE DE PROVEEDORES'!$A:$B,2,0)</f>
        <v>MANEJO INTEGRAL DE DESECHOS SOLIDOS SEM DE C.V.</v>
      </c>
      <c r="M334" s="10">
        <v>0</v>
      </c>
      <c r="N334" s="7" t="s">
        <v>2</v>
      </c>
      <c r="O334" s="7" t="s">
        <v>2</v>
      </c>
      <c r="P334" s="10">
        <v>56.26</v>
      </c>
      <c r="Q334" s="29" t="s">
        <v>2</v>
      </c>
      <c r="R334" s="32" t="s">
        <v>2</v>
      </c>
      <c r="S334" s="32" t="s">
        <v>2</v>
      </c>
      <c r="T334" s="29">
        <v>7.31</v>
      </c>
      <c r="U334" s="29">
        <f t="shared" si="47"/>
        <v>63.57</v>
      </c>
      <c r="V334" s="4" t="s">
        <v>3</v>
      </c>
      <c r="X334" s="3">
        <f t="shared" si="48"/>
        <v>7.31</v>
      </c>
    </row>
    <row r="335" spans="1:24" hidden="1" x14ac:dyDescent="0.25">
      <c r="A335" s="7" t="s">
        <v>651</v>
      </c>
      <c r="B335" s="4" t="s">
        <v>696</v>
      </c>
      <c r="C335" s="5" t="str">
        <f t="shared" si="44"/>
        <v>17</v>
      </c>
      <c r="D335" s="5" t="str">
        <f t="shared" si="45"/>
        <v>05</v>
      </c>
      <c r="E335" s="4" t="s">
        <v>30</v>
      </c>
      <c r="F335" s="4" t="s">
        <v>31</v>
      </c>
      <c r="G335" s="8" t="str">
        <f t="shared" si="46"/>
        <v>17/05/2021</v>
      </c>
      <c r="H335" s="4" t="s">
        <v>1</v>
      </c>
      <c r="I335" s="4" t="s">
        <v>0</v>
      </c>
      <c r="J335" s="7" t="s">
        <v>840</v>
      </c>
      <c r="K335" s="7" t="s">
        <v>172</v>
      </c>
      <c r="L335" s="9" t="str">
        <f>+VLOOKUP(K335,'[1]BASE DE PROVEEDORES'!$A:$B,2,0)</f>
        <v>MANEJO INTEGRAL DE DESECHOS SOLIDOS SEM DE C.V.</v>
      </c>
      <c r="M335" s="10">
        <v>0</v>
      </c>
      <c r="N335" s="7" t="s">
        <v>2</v>
      </c>
      <c r="O335" s="7" t="s">
        <v>2</v>
      </c>
      <c r="P335" s="10">
        <v>56.26</v>
      </c>
      <c r="Q335" s="29" t="s">
        <v>2</v>
      </c>
      <c r="R335" s="32" t="s">
        <v>2</v>
      </c>
      <c r="S335" s="32" t="s">
        <v>2</v>
      </c>
      <c r="T335" s="29">
        <v>7.31</v>
      </c>
      <c r="U335" s="29">
        <f t="shared" si="47"/>
        <v>63.57</v>
      </c>
      <c r="V335" s="4" t="s">
        <v>3</v>
      </c>
      <c r="X335" s="3">
        <f t="shared" si="48"/>
        <v>7.31</v>
      </c>
    </row>
    <row r="336" spans="1:24" hidden="1" x14ac:dyDescent="0.25">
      <c r="A336" s="7" t="s">
        <v>651</v>
      </c>
      <c r="B336" s="4" t="s">
        <v>657</v>
      </c>
      <c r="C336" s="5" t="str">
        <f t="shared" si="44"/>
        <v>18</v>
      </c>
      <c r="D336" s="5" t="str">
        <f t="shared" si="45"/>
        <v>05</v>
      </c>
      <c r="E336" s="4" t="s">
        <v>30</v>
      </c>
      <c r="F336" s="4" t="s">
        <v>31</v>
      </c>
      <c r="G336" s="8" t="str">
        <f t="shared" si="46"/>
        <v>18/05/2021</v>
      </c>
      <c r="H336" s="4" t="s">
        <v>1</v>
      </c>
      <c r="I336" s="4" t="s">
        <v>0</v>
      </c>
      <c r="J336" s="7" t="s">
        <v>699</v>
      </c>
      <c r="K336" s="7" t="s">
        <v>45</v>
      </c>
      <c r="L336" s="9" t="str">
        <f>+VLOOKUP(K336,'[1]BASE DE PROVEEDORES'!$A:$B,2,0)</f>
        <v>JOSE RICARDO ANTONIO MOLINA</v>
      </c>
      <c r="M336" s="10">
        <f>4.55+2.28</f>
        <v>6.83</v>
      </c>
      <c r="N336" s="7" t="s">
        <v>2</v>
      </c>
      <c r="O336" s="7" t="s">
        <v>2</v>
      </c>
      <c r="P336" s="10">
        <v>55.01</v>
      </c>
      <c r="Q336" s="29" t="s">
        <v>2</v>
      </c>
      <c r="R336" s="32" t="s">
        <v>2</v>
      </c>
      <c r="S336" s="32" t="s">
        <v>2</v>
      </c>
      <c r="T336" s="29">
        <v>7.15</v>
      </c>
      <c r="U336" s="29">
        <f t="shared" si="47"/>
        <v>68.989999999999995</v>
      </c>
      <c r="V336" s="4" t="s">
        <v>3</v>
      </c>
      <c r="X336" s="3">
        <f t="shared" si="48"/>
        <v>7.15</v>
      </c>
    </row>
    <row r="337" spans="1:24" hidden="1" x14ac:dyDescent="0.25">
      <c r="A337" s="7" t="s">
        <v>651</v>
      </c>
      <c r="B337" s="4" t="s">
        <v>657</v>
      </c>
      <c r="C337" s="5" t="str">
        <f t="shared" si="44"/>
        <v>18</v>
      </c>
      <c r="D337" s="5" t="str">
        <f t="shared" si="45"/>
        <v>05</v>
      </c>
      <c r="E337" s="4" t="s">
        <v>30</v>
      </c>
      <c r="F337" s="4" t="s">
        <v>31</v>
      </c>
      <c r="G337" s="8" t="str">
        <f t="shared" si="46"/>
        <v>18/05/2021</v>
      </c>
      <c r="H337" s="4" t="s">
        <v>1</v>
      </c>
      <c r="I337" s="4" t="s">
        <v>0</v>
      </c>
      <c r="J337" s="7" t="s">
        <v>760</v>
      </c>
      <c r="K337" s="7" t="s">
        <v>211</v>
      </c>
      <c r="L337" s="9" t="str">
        <f>+VLOOKUP(K337,'[1]BASE DE PROVEEDORES'!$A:$B,2,0)</f>
        <v>SEGUROS E INVERSIONES S.A</v>
      </c>
      <c r="M337" s="10">
        <v>0</v>
      </c>
      <c r="N337" s="7" t="s">
        <v>2</v>
      </c>
      <c r="O337" s="7" t="s">
        <v>2</v>
      </c>
      <c r="P337" s="10">
        <v>158.63999999999999</v>
      </c>
      <c r="Q337" s="29" t="s">
        <v>2</v>
      </c>
      <c r="R337" s="32" t="s">
        <v>2</v>
      </c>
      <c r="S337" s="32" t="s">
        <v>2</v>
      </c>
      <c r="T337" s="29">
        <v>20.62</v>
      </c>
      <c r="U337" s="29">
        <f t="shared" si="47"/>
        <v>179.26</v>
      </c>
      <c r="V337" s="4" t="s">
        <v>3</v>
      </c>
      <c r="X337" s="3">
        <f t="shared" si="48"/>
        <v>20.62</v>
      </c>
    </row>
    <row r="338" spans="1:24" hidden="1" x14ac:dyDescent="0.25">
      <c r="A338" s="7" t="s">
        <v>651</v>
      </c>
      <c r="B338" s="4" t="s">
        <v>657</v>
      </c>
      <c r="C338" s="5" t="str">
        <f t="shared" si="44"/>
        <v>18</v>
      </c>
      <c r="D338" s="5" t="str">
        <f t="shared" si="45"/>
        <v>05</v>
      </c>
      <c r="E338" s="4" t="s">
        <v>30</v>
      </c>
      <c r="F338" s="4" t="s">
        <v>31</v>
      </c>
      <c r="G338" s="8" t="str">
        <f t="shared" si="46"/>
        <v>18/05/2021</v>
      </c>
      <c r="H338" s="4" t="s">
        <v>1</v>
      </c>
      <c r="I338" s="4" t="s">
        <v>0</v>
      </c>
      <c r="J338" s="7" t="s">
        <v>799</v>
      </c>
      <c r="K338" s="7" t="s">
        <v>151</v>
      </c>
      <c r="L338" s="9" t="str">
        <f>+VLOOKUP(K338,'[1]BASE DE PROVEEDORES'!$A:$B,2,0)</f>
        <v>REPUESTOS NOE S.A DE C.V.</v>
      </c>
      <c r="M338" s="10">
        <v>0</v>
      </c>
      <c r="N338" s="7" t="s">
        <v>2</v>
      </c>
      <c r="O338" s="7" t="s">
        <v>2</v>
      </c>
      <c r="P338" s="10">
        <v>74</v>
      </c>
      <c r="Q338" s="29" t="s">
        <v>2</v>
      </c>
      <c r="R338" s="32" t="s">
        <v>2</v>
      </c>
      <c r="S338" s="32" t="s">
        <v>2</v>
      </c>
      <c r="T338" s="29">
        <v>9.6199999999999992</v>
      </c>
      <c r="U338" s="29">
        <f t="shared" si="47"/>
        <v>83.62</v>
      </c>
      <c r="V338" s="4" t="s">
        <v>3</v>
      </c>
      <c r="X338" s="3">
        <f t="shared" si="48"/>
        <v>9.6199999999999992</v>
      </c>
    </row>
    <row r="339" spans="1:24" hidden="1" x14ac:dyDescent="0.25">
      <c r="A339" s="7" t="s">
        <v>651</v>
      </c>
      <c r="B339" s="4" t="s">
        <v>657</v>
      </c>
      <c r="C339" s="5" t="str">
        <f t="shared" si="44"/>
        <v>18</v>
      </c>
      <c r="D339" s="5" t="str">
        <f t="shared" si="45"/>
        <v>05</v>
      </c>
      <c r="E339" s="4" t="s">
        <v>30</v>
      </c>
      <c r="F339" s="4" t="s">
        <v>31</v>
      </c>
      <c r="G339" s="8" t="str">
        <f t="shared" si="46"/>
        <v>18/05/2021</v>
      </c>
      <c r="H339" s="4" t="s">
        <v>1</v>
      </c>
      <c r="I339" s="4" t="s">
        <v>0</v>
      </c>
      <c r="J339" s="7" t="s">
        <v>801</v>
      </c>
      <c r="K339" s="7" t="s">
        <v>29</v>
      </c>
      <c r="L339" s="9" t="str">
        <f>+VLOOKUP(K339,'[1]BASE DE PROVEEDORES'!$A:$B,2,0)</f>
        <v xml:space="preserve">LA CASA DEL REPUESTO S.A DE C.V. </v>
      </c>
      <c r="M339" s="10">
        <v>0</v>
      </c>
      <c r="N339" s="7" t="s">
        <v>2</v>
      </c>
      <c r="O339" s="7" t="s">
        <v>2</v>
      </c>
      <c r="P339" s="10">
        <v>43.88</v>
      </c>
      <c r="Q339" s="29" t="s">
        <v>2</v>
      </c>
      <c r="R339" s="32" t="s">
        <v>2</v>
      </c>
      <c r="S339" s="32" t="s">
        <v>2</v>
      </c>
      <c r="T339" s="29">
        <v>5.7</v>
      </c>
      <c r="U339" s="29">
        <f t="shared" si="47"/>
        <v>49.580000000000005</v>
      </c>
      <c r="V339" s="4" t="s">
        <v>3</v>
      </c>
      <c r="X339" s="3">
        <f t="shared" si="48"/>
        <v>5.7</v>
      </c>
    </row>
    <row r="340" spans="1:24" hidden="1" x14ac:dyDescent="0.25">
      <c r="A340" s="7" t="s">
        <v>651</v>
      </c>
      <c r="B340" s="4" t="s">
        <v>657</v>
      </c>
      <c r="C340" s="5" t="str">
        <f t="shared" ref="C340:C371" si="49">+LEFT(B340,2)</f>
        <v>18</v>
      </c>
      <c r="D340" s="5" t="str">
        <f t="shared" ref="D340:D371" si="50">+RIGHT(B340,2)</f>
        <v>05</v>
      </c>
      <c r="E340" s="4" t="s">
        <v>30</v>
      </c>
      <c r="F340" s="4" t="s">
        <v>31</v>
      </c>
      <c r="G340" s="8" t="str">
        <f t="shared" ref="G340:G371" si="51">+C340&amp;F340&amp;D340&amp;F340&amp;E340</f>
        <v>18/05/2021</v>
      </c>
      <c r="H340" s="4" t="s">
        <v>1</v>
      </c>
      <c r="I340" s="4" t="s">
        <v>0</v>
      </c>
      <c r="J340" s="7" t="s">
        <v>813</v>
      </c>
      <c r="K340" s="7" t="s">
        <v>172</v>
      </c>
      <c r="L340" s="9" t="str">
        <f>+VLOOKUP(K340,'[1]BASE DE PROVEEDORES'!$A:$B,2,0)</f>
        <v>MANEJO INTEGRAL DE DESECHOS SOLIDOS SEM DE C.V.</v>
      </c>
      <c r="M340" s="10">
        <v>0</v>
      </c>
      <c r="N340" s="7" t="s">
        <v>2</v>
      </c>
      <c r="O340" s="7" t="s">
        <v>2</v>
      </c>
      <c r="P340" s="10">
        <v>83.67</v>
      </c>
      <c r="Q340" s="29" t="s">
        <v>2</v>
      </c>
      <c r="R340" s="32" t="s">
        <v>2</v>
      </c>
      <c r="S340" s="32" t="s">
        <v>2</v>
      </c>
      <c r="T340" s="29">
        <v>10.88</v>
      </c>
      <c r="U340" s="29">
        <f t="shared" ref="U340:U371" si="52">+M340+P340+T340</f>
        <v>94.55</v>
      </c>
      <c r="V340" s="4" t="s">
        <v>3</v>
      </c>
      <c r="X340" s="3">
        <f t="shared" ref="X340:X371" si="53">+ROUND(T340,2)</f>
        <v>10.88</v>
      </c>
    </row>
    <row r="341" spans="1:24" hidden="1" x14ac:dyDescent="0.25">
      <c r="A341" s="7" t="s">
        <v>651</v>
      </c>
      <c r="B341" s="4" t="s">
        <v>657</v>
      </c>
      <c r="C341" s="5" t="str">
        <f t="shared" si="49"/>
        <v>18</v>
      </c>
      <c r="D341" s="5" t="str">
        <f t="shared" si="50"/>
        <v>05</v>
      </c>
      <c r="E341" s="4" t="s">
        <v>30</v>
      </c>
      <c r="F341" s="4" t="s">
        <v>31</v>
      </c>
      <c r="G341" s="8" t="str">
        <f t="shared" si="51"/>
        <v>18/05/2021</v>
      </c>
      <c r="H341" s="4" t="s">
        <v>1</v>
      </c>
      <c r="I341" s="4" t="s">
        <v>0</v>
      </c>
      <c r="J341" s="7" t="s">
        <v>823</v>
      </c>
      <c r="K341" s="7" t="s">
        <v>172</v>
      </c>
      <c r="L341" s="9" t="str">
        <f>+VLOOKUP(K341,'[1]BASE DE PROVEEDORES'!$A:$B,2,0)</f>
        <v>MANEJO INTEGRAL DE DESECHOS SOLIDOS SEM DE C.V.</v>
      </c>
      <c r="M341" s="10">
        <v>0</v>
      </c>
      <c r="N341" s="7" t="s">
        <v>2</v>
      </c>
      <c r="O341" s="7" t="s">
        <v>2</v>
      </c>
      <c r="P341" s="10">
        <v>64.58</v>
      </c>
      <c r="Q341" s="29" t="s">
        <v>2</v>
      </c>
      <c r="R341" s="32" t="s">
        <v>2</v>
      </c>
      <c r="S341" s="32" t="s">
        <v>2</v>
      </c>
      <c r="T341" s="29">
        <v>8.4</v>
      </c>
      <c r="U341" s="29">
        <f t="shared" si="52"/>
        <v>72.98</v>
      </c>
      <c r="V341" s="4" t="s">
        <v>3</v>
      </c>
      <c r="X341" s="3">
        <f t="shared" si="53"/>
        <v>8.4</v>
      </c>
    </row>
    <row r="342" spans="1:24" hidden="1" x14ac:dyDescent="0.25">
      <c r="A342" s="7" t="s">
        <v>651</v>
      </c>
      <c r="B342" s="4" t="s">
        <v>658</v>
      </c>
      <c r="C342" s="5" t="str">
        <f t="shared" si="49"/>
        <v>19</v>
      </c>
      <c r="D342" s="5" t="str">
        <f t="shared" si="50"/>
        <v>05</v>
      </c>
      <c r="E342" s="4" t="s">
        <v>30</v>
      </c>
      <c r="F342" s="4" t="s">
        <v>31</v>
      </c>
      <c r="G342" s="8" t="str">
        <f t="shared" si="51"/>
        <v>19/05/2021</v>
      </c>
      <c r="H342" s="4" t="s">
        <v>1</v>
      </c>
      <c r="I342" s="4" t="s">
        <v>0</v>
      </c>
      <c r="J342" s="7" t="s">
        <v>700</v>
      </c>
      <c r="K342" s="7" t="s">
        <v>45</v>
      </c>
      <c r="L342" s="9" t="str">
        <f>+VLOOKUP(K342,'[1]BASE DE PROVEEDORES'!$A:$B,2,0)</f>
        <v>JOSE RICARDO ANTONIO MOLINA</v>
      </c>
      <c r="M342" s="10">
        <f>7.52+3.76</f>
        <v>11.28</v>
      </c>
      <c r="N342" s="7" t="s">
        <v>2</v>
      </c>
      <c r="O342" s="7" t="s">
        <v>2</v>
      </c>
      <c r="P342" s="10">
        <v>90.9</v>
      </c>
      <c r="Q342" s="29" t="s">
        <v>2</v>
      </c>
      <c r="R342" s="32" t="s">
        <v>2</v>
      </c>
      <c r="S342" s="32" t="s">
        <v>2</v>
      </c>
      <c r="T342" s="29">
        <v>11.82</v>
      </c>
      <c r="U342" s="29">
        <f t="shared" si="52"/>
        <v>114</v>
      </c>
      <c r="V342" s="4" t="s">
        <v>3</v>
      </c>
      <c r="X342" s="3">
        <f t="shared" si="53"/>
        <v>11.82</v>
      </c>
    </row>
    <row r="343" spans="1:24" hidden="1" x14ac:dyDescent="0.25">
      <c r="A343" s="7" t="s">
        <v>651</v>
      </c>
      <c r="B343" s="4" t="s">
        <v>658</v>
      </c>
      <c r="C343" s="5" t="str">
        <f t="shared" si="49"/>
        <v>19</v>
      </c>
      <c r="D343" s="5" t="str">
        <f t="shared" si="50"/>
        <v>05</v>
      </c>
      <c r="E343" s="4" t="s">
        <v>30</v>
      </c>
      <c r="F343" s="4" t="s">
        <v>31</v>
      </c>
      <c r="G343" s="8" t="str">
        <f t="shared" si="51"/>
        <v>19/05/2021</v>
      </c>
      <c r="H343" s="4" t="s">
        <v>1</v>
      </c>
      <c r="I343" s="4" t="s">
        <v>0</v>
      </c>
      <c r="J343" s="7" t="s">
        <v>731</v>
      </c>
      <c r="K343" s="7" t="s">
        <v>28</v>
      </c>
      <c r="L343" s="9" t="str">
        <f>+VLOOKUP(K343,'[1]BASE DE PROVEEDORES'!$A:$B,2,0)</f>
        <v xml:space="preserve">ACTIVIDADES PETROLERAS DE EL SALVADOR S.A DE C.V </v>
      </c>
      <c r="M343" s="10">
        <f>1.65+0.82</f>
        <v>2.4699999999999998</v>
      </c>
      <c r="N343" s="7" t="s">
        <v>2</v>
      </c>
      <c r="O343" s="7" t="s">
        <v>2</v>
      </c>
      <c r="P343" s="10">
        <v>19.93</v>
      </c>
      <c r="Q343" s="29" t="s">
        <v>2</v>
      </c>
      <c r="R343" s="32" t="s">
        <v>2</v>
      </c>
      <c r="S343" s="32" t="s">
        <v>2</v>
      </c>
      <c r="T343" s="29">
        <v>2.59</v>
      </c>
      <c r="U343" s="29">
        <f t="shared" si="52"/>
        <v>24.99</v>
      </c>
      <c r="V343" s="4" t="s">
        <v>3</v>
      </c>
      <c r="X343" s="3">
        <f t="shared" si="53"/>
        <v>2.59</v>
      </c>
    </row>
    <row r="344" spans="1:24" hidden="1" x14ac:dyDescent="0.25">
      <c r="A344" s="7" t="s">
        <v>651</v>
      </c>
      <c r="B344" s="4" t="s">
        <v>658</v>
      </c>
      <c r="C344" s="5" t="str">
        <f t="shared" si="49"/>
        <v>19</v>
      </c>
      <c r="D344" s="5" t="str">
        <f t="shared" si="50"/>
        <v>05</v>
      </c>
      <c r="E344" s="4" t="s">
        <v>30</v>
      </c>
      <c r="F344" s="4" t="s">
        <v>31</v>
      </c>
      <c r="G344" s="8" t="str">
        <f t="shared" si="51"/>
        <v>19/05/2021</v>
      </c>
      <c r="H344" s="4" t="s">
        <v>1</v>
      </c>
      <c r="I344" s="4" t="s">
        <v>0</v>
      </c>
      <c r="J344" s="7" t="s">
        <v>756</v>
      </c>
      <c r="K344" s="7" t="s">
        <v>748</v>
      </c>
      <c r="L344" s="9" t="str">
        <f>+VLOOKUP(K344,'[1]BASE DE PROVEEDORES'!$A:$B,2,0)</f>
        <v>CARLOS ERNESTO MEJIA RIVAS</v>
      </c>
      <c r="M344" s="10">
        <v>0</v>
      </c>
      <c r="N344" s="7" t="s">
        <v>2</v>
      </c>
      <c r="O344" s="7" t="s">
        <v>2</v>
      </c>
      <c r="P344" s="10">
        <v>30</v>
      </c>
      <c r="Q344" s="29" t="s">
        <v>2</v>
      </c>
      <c r="R344" s="32" t="s">
        <v>2</v>
      </c>
      <c r="S344" s="32" t="s">
        <v>2</v>
      </c>
      <c r="T344" s="29">
        <v>3.9</v>
      </c>
      <c r="U344" s="29">
        <f t="shared" si="52"/>
        <v>33.9</v>
      </c>
      <c r="V344" s="4" t="s">
        <v>3</v>
      </c>
      <c r="X344" s="3">
        <f t="shared" si="53"/>
        <v>3.9</v>
      </c>
    </row>
    <row r="345" spans="1:24" hidden="1" x14ac:dyDescent="0.25">
      <c r="A345" s="7" t="s">
        <v>651</v>
      </c>
      <c r="B345" s="4" t="s">
        <v>658</v>
      </c>
      <c r="C345" s="5" t="str">
        <f t="shared" si="49"/>
        <v>19</v>
      </c>
      <c r="D345" s="5" t="str">
        <f t="shared" si="50"/>
        <v>05</v>
      </c>
      <c r="E345" s="4" t="s">
        <v>30</v>
      </c>
      <c r="F345" s="4" t="s">
        <v>31</v>
      </c>
      <c r="G345" s="8" t="str">
        <f t="shared" si="51"/>
        <v>19/05/2021</v>
      </c>
      <c r="H345" s="4" t="s">
        <v>1</v>
      </c>
      <c r="I345" s="4" t="s">
        <v>0</v>
      </c>
      <c r="J345" s="7" t="s">
        <v>790</v>
      </c>
      <c r="K345" s="7" t="s">
        <v>126</v>
      </c>
      <c r="L345" s="9" t="str">
        <f>+VLOOKUP(K345,'[1]BASE DE PROVEEDORES'!$A:$B,2,0)</f>
        <v>REPUESTOS IZALCO S.A DE C.V.</v>
      </c>
      <c r="M345" s="10">
        <v>0</v>
      </c>
      <c r="N345" s="7" t="s">
        <v>2</v>
      </c>
      <c r="O345" s="7" t="s">
        <v>2</v>
      </c>
      <c r="P345" s="10">
        <v>5.84</v>
      </c>
      <c r="Q345" s="29" t="s">
        <v>2</v>
      </c>
      <c r="R345" s="32" t="s">
        <v>2</v>
      </c>
      <c r="S345" s="32" t="s">
        <v>2</v>
      </c>
      <c r="T345" s="29">
        <v>0.76</v>
      </c>
      <c r="U345" s="29">
        <f t="shared" si="52"/>
        <v>6.6</v>
      </c>
      <c r="V345" s="4" t="s">
        <v>3</v>
      </c>
      <c r="X345" s="3">
        <f t="shared" si="53"/>
        <v>0.76</v>
      </c>
    </row>
    <row r="346" spans="1:24" hidden="1" x14ac:dyDescent="0.25">
      <c r="A346" s="7" t="s">
        <v>651</v>
      </c>
      <c r="B346" s="4" t="s">
        <v>701</v>
      </c>
      <c r="C346" s="5" t="str">
        <f t="shared" si="49"/>
        <v>20</v>
      </c>
      <c r="D346" s="5" t="str">
        <f t="shared" si="50"/>
        <v>05</v>
      </c>
      <c r="E346" s="4" t="s">
        <v>30</v>
      </c>
      <c r="F346" s="4" t="s">
        <v>31</v>
      </c>
      <c r="G346" s="8" t="str">
        <f t="shared" si="51"/>
        <v>20/05/2021</v>
      </c>
      <c r="H346" s="4" t="s">
        <v>1</v>
      </c>
      <c r="I346" s="4" t="s">
        <v>0</v>
      </c>
      <c r="J346" s="7" t="s">
        <v>702</v>
      </c>
      <c r="K346" s="7" t="s">
        <v>45</v>
      </c>
      <c r="L346" s="9" t="str">
        <f>+VLOOKUP(K346,'[1]BASE DE PROVEEDORES'!$A:$B,2,0)</f>
        <v>JOSE RICARDO ANTONIO MOLINA</v>
      </c>
      <c r="M346" s="10">
        <f>1.21+0.6</f>
        <v>1.81</v>
      </c>
      <c r="N346" s="7" t="s">
        <v>2</v>
      </c>
      <c r="O346" s="7" t="s">
        <v>2</v>
      </c>
      <c r="P346" s="10">
        <v>17.850000000000001</v>
      </c>
      <c r="Q346" s="29" t="s">
        <v>2</v>
      </c>
      <c r="R346" s="32" t="s">
        <v>2</v>
      </c>
      <c r="S346" s="32" t="s">
        <v>2</v>
      </c>
      <c r="T346" s="29">
        <v>2.3199999999999998</v>
      </c>
      <c r="U346" s="29">
        <f t="shared" si="52"/>
        <v>21.98</v>
      </c>
      <c r="V346" s="4" t="s">
        <v>3</v>
      </c>
      <c r="X346" s="3">
        <f t="shared" si="53"/>
        <v>2.3199999999999998</v>
      </c>
    </row>
    <row r="347" spans="1:24" hidden="1" x14ac:dyDescent="0.25">
      <c r="A347" s="7" t="s">
        <v>651</v>
      </c>
      <c r="B347" s="4" t="s">
        <v>701</v>
      </c>
      <c r="C347" s="5" t="str">
        <f t="shared" si="49"/>
        <v>20</v>
      </c>
      <c r="D347" s="5" t="str">
        <f t="shared" si="50"/>
        <v>05</v>
      </c>
      <c r="E347" s="4" t="s">
        <v>30</v>
      </c>
      <c r="F347" s="4" t="s">
        <v>31</v>
      </c>
      <c r="G347" s="8" t="str">
        <f t="shared" si="51"/>
        <v>20/05/2021</v>
      </c>
      <c r="H347" s="4" t="s">
        <v>1</v>
      </c>
      <c r="I347" s="4" t="s">
        <v>0</v>
      </c>
      <c r="J347" s="7" t="s">
        <v>703</v>
      </c>
      <c r="K347" s="7" t="s">
        <v>45</v>
      </c>
      <c r="L347" s="9" t="str">
        <f>+VLOOKUP(K347,'[1]BASE DE PROVEEDORES'!$A:$B,2,0)</f>
        <v>JOSE RICARDO ANTONIO MOLINA</v>
      </c>
      <c r="M347" s="10">
        <v>12.35</v>
      </c>
      <c r="N347" s="7" t="s">
        <v>2</v>
      </c>
      <c r="O347" s="7" t="s">
        <v>2</v>
      </c>
      <c r="P347" s="10">
        <v>99.51</v>
      </c>
      <c r="Q347" s="29" t="s">
        <v>2</v>
      </c>
      <c r="R347" s="32" t="s">
        <v>2</v>
      </c>
      <c r="S347" s="32" t="s">
        <v>2</v>
      </c>
      <c r="T347" s="29">
        <v>12.94</v>
      </c>
      <c r="U347" s="29">
        <f t="shared" si="52"/>
        <v>124.8</v>
      </c>
      <c r="V347" s="4" t="s">
        <v>3</v>
      </c>
      <c r="X347" s="3">
        <f t="shared" si="53"/>
        <v>12.94</v>
      </c>
    </row>
    <row r="348" spans="1:24" hidden="1" x14ac:dyDescent="0.25">
      <c r="A348" s="7" t="s">
        <v>651</v>
      </c>
      <c r="B348" s="4" t="s">
        <v>701</v>
      </c>
      <c r="C348" s="5" t="str">
        <f t="shared" si="49"/>
        <v>20</v>
      </c>
      <c r="D348" s="5" t="str">
        <f t="shared" si="50"/>
        <v>05</v>
      </c>
      <c r="E348" s="4" t="s">
        <v>30</v>
      </c>
      <c r="F348" s="4" t="s">
        <v>31</v>
      </c>
      <c r="G348" s="8" t="str">
        <f t="shared" si="51"/>
        <v>20/05/2021</v>
      </c>
      <c r="H348" s="4" t="s">
        <v>1</v>
      </c>
      <c r="I348" s="4" t="s">
        <v>0</v>
      </c>
      <c r="J348" s="7" t="s">
        <v>747</v>
      </c>
      <c r="K348" s="7" t="s">
        <v>748</v>
      </c>
      <c r="L348" s="9" t="str">
        <f>+VLOOKUP(K348,'[1]BASE DE PROVEEDORES'!$A:$B,2,0)</f>
        <v>CARLOS ERNESTO MEJIA RIVAS</v>
      </c>
      <c r="M348" s="10">
        <v>0</v>
      </c>
      <c r="N348" s="7" t="s">
        <v>2</v>
      </c>
      <c r="O348" s="7" t="s">
        <v>2</v>
      </c>
      <c r="P348" s="10">
        <v>15</v>
      </c>
      <c r="Q348" s="29" t="s">
        <v>2</v>
      </c>
      <c r="R348" s="32" t="s">
        <v>2</v>
      </c>
      <c r="S348" s="32" t="s">
        <v>2</v>
      </c>
      <c r="T348" s="29">
        <v>1.95</v>
      </c>
      <c r="U348" s="29">
        <f t="shared" si="52"/>
        <v>16.95</v>
      </c>
      <c r="V348" s="4" t="s">
        <v>3</v>
      </c>
      <c r="X348" s="3">
        <f t="shared" si="53"/>
        <v>1.95</v>
      </c>
    </row>
    <row r="349" spans="1:24" hidden="1" x14ac:dyDescent="0.25">
      <c r="A349" s="7" t="s">
        <v>651</v>
      </c>
      <c r="B349" s="4" t="s">
        <v>701</v>
      </c>
      <c r="C349" s="5" t="str">
        <f t="shared" si="49"/>
        <v>20</v>
      </c>
      <c r="D349" s="5" t="str">
        <f t="shared" si="50"/>
        <v>05</v>
      </c>
      <c r="E349" s="4" t="s">
        <v>30</v>
      </c>
      <c r="F349" s="4" t="s">
        <v>31</v>
      </c>
      <c r="G349" s="8" t="str">
        <f t="shared" si="51"/>
        <v>20/05/2021</v>
      </c>
      <c r="H349" s="4" t="s">
        <v>1</v>
      </c>
      <c r="I349" s="4" t="s">
        <v>0</v>
      </c>
      <c r="J349" s="7" t="s">
        <v>749</v>
      </c>
      <c r="K349" s="7" t="s">
        <v>750</v>
      </c>
      <c r="L349" s="9" t="str">
        <f>+VLOOKUP(K349,'[1]BASE DE PROVEEDORES'!$A:$B,2,0)</f>
        <v>CALLEJA S.A DE C.V.</v>
      </c>
      <c r="M349" s="10">
        <v>0</v>
      </c>
      <c r="N349" s="7" t="s">
        <v>2</v>
      </c>
      <c r="O349" s="7" t="s">
        <v>2</v>
      </c>
      <c r="P349" s="10">
        <v>7.59</v>
      </c>
      <c r="Q349" s="29" t="s">
        <v>2</v>
      </c>
      <c r="R349" s="32" t="s">
        <v>2</v>
      </c>
      <c r="S349" s="32" t="s">
        <v>2</v>
      </c>
      <c r="T349" s="29">
        <v>0.99</v>
      </c>
      <c r="U349" s="29">
        <f t="shared" si="52"/>
        <v>8.58</v>
      </c>
      <c r="V349" s="4" t="s">
        <v>3</v>
      </c>
      <c r="X349" s="3">
        <f t="shared" si="53"/>
        <v>0.99</v>
      </c>
    </row>
    <row r="350" spans="1:24" hidden="1" x14ac:dyDescent="0.25">
      <c r="A350" s="7" t="s">
        <v>651</v>
      </c>
      <c r="B350" s="4" t="s">
        <v>701</v>
      </c>
      <c r="C350" s="5" t="str">
        <f t="shared" si="49"/>
        <v>20</v>
      </c>
      <c r="D350" s="5" t="str">
        <f t="shared" si="50"/>
        <v>05</v>
      </c>
      <c r="E350" s="4" t="s">
        <v>30</v>
      </c>
      <c r="F350" s="4" t="s">
        <v>31</v>
      </c>
      <c r="G350" s="8" t="str">
        <f t="shared" si="51"/>
        <v>20/05/2021</v>
      </c>
      <c r="H350" s="4" t="s">
        <v>1</v>
      </c>
      <c r="I350" s="4" t="s">
        <v>0</v>
      </c>
      <c r="J350" s="7" t="s">
        <v>814</v>
      </c>
      <c r="K350" s="7" t="s">
        <v>172</v>
      </c>
      <c r="L350" s="9" t="str">
        <f>+VLOOKUP(K350,'[1]BASE DE PROVEEDORES'!$A:$B,2,0)</f>
        <v>MANEJO INTEGRAL DE DESECHOS SOLIDOS SEM DE C.V.</v>
      </c>
      <c r="M350" s="10">
        <v>0</v>
      </c>
      <c r="N350" s="7" t="s">
        <v>2</v>
      </c>
      <c r="O350" s="7" t="s">
        <v>2</v>
      </c>
      <c r="P350" s="10">
        <v>28.92</v>
      </c>
      <c r="Q350" s="29" t="s">
        <v>2</v>
      </c>
      <c r="R350" s="32" t="s">
        <v>2</v>
      </c>
      <c r="S350" s="32" t="s">
        <v>2</v>
      </c>
      <c r="T350" s="29">
        <v>3.76</v>
      </c>
      <c r="U350" s="29">
        <f t="shared" si="52"/>
        <v>32.68</v>
      </c>
      <c r="V350" s="4" t="s">
        <v>3</v>
      </c>
      <c r="X350" s="3">
        <f t="shared" si="53"/>
        <v>3.76</v>
      </c>
    </row>
    <row r="351" spans="1:24" hidden="1" x14ac:dyDescent="0.25">
      <c r="A351" s="7" t="s">
        <v>651</v>
      </c>
      <c r="B351" s="4" t="s">
        <v>659</v>
      </c>
      <c r="C351" s="5" t="str">
        <f t="shared" si="49"/>
        <v>21</v>
      </c>
      <c r="D351" s="5" t="str">
        <f t="shared" si="50"/>
        <v>05</v>
      </c>
      <c r="E351" s="4" t="s">
        <v>30</v>
      </c>
      <c r="F351" s="4" t="s">
        <v>31</v>
      </c>
      <c r="G351" s="8" t="str">
        <f t="shared" si="51"/>
        <v>21/05/2021</v>
      </c>
      <c r="H351" s="4" t="s">
        <v>1</v>
      </c>
      <c r="I351" s="4" t="s">
        <v>0</v>
      </c>
      <c r="J351" s="7" t="s">
        <v>704</v>
      </c>
      <c r="K351" s="7" t="s">
        <v>45</v>
      </c>
      <c r="L351" s="9" t="str">
        <f>+VLOOKUP(K351,'[1]BASE DE PROVEEDORES'!$A:$B,2,0)</f>
        <v>JOSE RICARDO ANTONIO MOLINA</v>
      </c>
      <c r="M351" s="10">
        <f>7.59+3.8</f>
        <v>11.39</v>
      </c>
      <c r="N351" s="7" t="s">
        <v>2</v>
      </c>
      <c r="O351" s="7" t="s">
        <v>2</v>
      </c>
      <c r="P351" s="10">
        <v>91.69</v>
      </c>
      <c r="Q351" s="29" t="s">
        <v>2</v>
      </c>
      <c r="R351" s="32" t="s">
        <v>2</v>
      </c>
      <c r="S351" s="32" t="s">
        <v>2</v>
      </c>
      <c r="T351" s="29">
        <v>11.92</v>
      </c>
      <c r="U351" s="29">
        <f t="shared" si="52"/>
        <v>115</v>
      </c>
      <c r="V351" s="4" t="s">
        <v>3</v>
      </c>
      <c r="X351" s="3">
        <f t="shared" si="53"/>
        <v>11.92</v>
      </c>
    </row>
    <row r="352" spans="1:24" hidden="1" x14ac:dyDescent="0.25">
      <c r="A352" s="7" t="s">
        <v>651</v>
      </c>
      <c r="B352" s="4" t="s">
        <v>659</v>
      </c>
      <c r="C352" s="5" t="str">
        <f t="shared" si="49"/>
        <v>21</v>
      </c>
      <c r="D352" s="5" t="str">
        <f t="shared" si="50"/>
        <v>05</v>
      </c>
      <c r="E352" s="4" t="s">
        <v>30</v>
      </c>
      <c r="F352" s="4" t="s">
        <v>31</v>
      </c>
      <c r="G352" s="8" t="str">
        <f t="shared" si="51"/>
        <v>21/05/2021</v>
      </c>
      <c r="H352" s="4" t="s">
        <v>1</v>
      </c>
      <c r="I352" s="4" t="s">
        <v>0</v>
      </c>
      <c r="J352" s="7" t="s">
        <v>705</v>
      </c>
      <c r="K352" s="7" t="s">
        <v>45</v>
      </c>
      <c r="L352" s="9" t="str">
        <f>+VLOOKUP(K352,'[1]BASE DE PROVEEDORES'!$A:$B,2,0)</f>
        <v>JOSE RICARDO ANTONIO MOLINA</v>
      </c>
      <c r="M352" s="10">
        <f>7.26+3.63</f>
        <v>10.89</v>
      </c>
      <c r="N352" s="7" t="s">
        <v>2</v>
      </c>
      <c r="O352" s="7" t="s">
        <v>2</v>
      </c>
      <c r="P352" s="10">
        <v>87.71</v>
      </c>
      <c r="Q352" s="29" t="s">
        <v>2</v>
      </c>
      <c r="R352" s="32" t="s">
        <v>2</v>
      </c>
      <c r="S352" s="32" t="s">
        <v>2</v>
      </c>
      <c r="T352" s="29">
        <v>11.4</v>
      </c>
      <c r="U352" s="29">
        <f t="shared" si="52"/>
        <v>110</v>
      </c>
      <c r="V352" s="4" t="s">
        <v>3</v>
      </c>
      <c r="X352" s="3">
        <f t="shared" si="53"/>
        <v>11.4</v>
      </c>
    </row>
    <row r="353" spans="1:24" hidden="1" x14ac:dyDescent="0.25">
      <c r="A353" s="7" t="s">
        <v>651</v>
      </c>
      <c r="B353" s="4" t="s">
        <v>659</v>
      </c>
      <c r="C353" s="5" t="str">
        <f t="shared" si="49"/>
        <v>21</v>
      </c>
      <c r="D353" s="5" t="str">
        <f t="shared" si="50"/>
        <v>05</v>
      </c>
      <c r="E353" s="4" t="s">
        <v>30</v>
      </c>
      <c r="F353" s="4" t="s">
        <v>31</v>
      </c>
      <c r="G353" s="8" t="str">
        <f t="shared" si="51"/>
        <v>21/05/2021</v>
      </c>
      <c r="H353" s="4" t="s">
        <v>1</v>
      </c>
      <c r="I353" s="4" t="s">
        <v>0</v>
      </c>
      <c r="J353" s="7" t="s">
        <v>730</v>
      </c>
      <c r="K353" s="7" t="s">
        <v>28</v>
      </c>
      <c r="L353" s="9" t="str">
        <f>+VLOOKUP(K353,'[1]BASE DE PROVEEDORES'!$A:$B,2,0)</f>
        <v xml:space="preserve">ACTIVIDADES PETROLERAS DE EL SALVADOR S.A DE C.V </v>
      </c>
      <c r="M353" s="10">
        <f>1.32+0.66</f>
        <v>1.98</v>
      </c>
      <c r="N353" s="7" t="s">
        <v>2</v>
      </c>
      <c r="O353" s="7" t="s">
        <v>2</v>
      </c>
      <c r="P353" s="10">
        <v>15.95</v>
      </c>
      <c r="Q353" s="29" t="s">
        <v>2</v>
      </c>
      <c r="R353" s="32" t="s">
        <v>2</v>
      </c>
      <c r="S353" s="32" t="s">
        <v>2</v>
      </c>
      <c r="T353" s="29">
        <v>2.0699999999999998</v>
      </c>
      <c r="U353" s="29">
        <f t="shared" si="52"/>
        <v>20</v>
      </c>
      <c r="V353" s="4" t="s">
        <v>3</v>
      </c>
      <c r="X353" s="3">
        <f t="shared" si="53"/>
        <v>2.0699999999999998</v>
      </c>
    </row>
    <row r="354" spans="1:24" hidden="1" x14ac:dyDescent="0.25">
      <c r="A354" s="7" t="s">
        <v>651</v>
      </c>
      <c r="B354" s="4" t="s">
        <v>659</v>
      </c>
      <c r="C354" s="5" t="str">
        <f t="shared" si="49"/>
        <v>21</v>
      </c>
      <c r="D354" s="5" t="str">
        <f t="shared" si="50"/>
        <v>05</v>
      </c>
      <c r="E354" s="4" t="s">
        <v>30</v>
      </c>
      <c r="F354" s="4" t="s">
        <v>31</v>
      </c>
      <c r="G354" s="8" t="str">
        <f t="shared" si="51"/>
        <v>21/05/2021</v>
      </c>
      <c r="H354" s="4" t="s">
        <v>1</v>
      </c>
      <c r="I354" s="4" t="s">
        <v>0</v>
      </c>
      <c r="J354" s="7" t="s">
        <v>824</v>
      </c>
      <c r="K354" s="7" t="s">
        <v>172</v>
      </c>
      <c r="L354" s="9" t="str">
        <f>+VLOOKUP(K354,'[1]BASE DE PROVEEDORES'!$A:$B,2,0)</f>
        <v>MANEJO INTEGRAL DE DESECHOS SOLIDOS SEM DE C.V.</v>
      </c>
      <c r="M354" s="10">
        <v>0</v>
      </c>
      <c r="N354" s="7" t="s">
        <v>2</v>
      </c>
      <c r="O354" s="7" t="s">
        <v>2</v>
      </c>
      <c r="P354" s="10">
        <v>38.18</v>
      </c>
      <c r="Q354" s="29" t="s">
        <v>2</v>
      </c>
      <c r="R354" s="32" t="s">
        <v>2</v>
      </c>
      <c r="S354" s="32" t="s">
        <v>2</v>
      </c>
      <c r="T354" s="29">
        <v>4.96</v>
      </c>
      <c r="U354" s="29">
        <f t="shared" si="52"/>
        <v>43.14</v>
      </c>
      <c r="V354" s="4" t="s">
        <v>3</v>
      </c>
      <c r="X354" s="3">
        <f t="shared" si="53"/>
        <v>4.96</v>
      </c>
    </row>
    <row r="355" spans="1:24" hidden="1" x14ac:dyDescent="0.25">
      <c r="A355" s="7" t="s">
        <v>651</v>
      </c>
      <c r="B355" s="4" t="s">
        <v>706</v>
      </c>
      <c r="C355" s="5" t="str">
        <f t="shared" si="49"/>
        <v>22</v>
      </c>
      <c r="D355" s="5" t="str">
        <f t="shared" si="50"/>
        <v>05</v>
      </c>
      <c r="E355" s="4" t="s">
        <v>30</v>
      </c>
      <c r="F355" s="4" t="s">
        <v>31</v>
      </c>
      <c r="G355" s="8" t="str">
        <f t="shared" si="51"/>
        <v>22/05/2021</v>
      </c>
      <c r="H355" s="4" t="s">
        <v>1</v>
      </c>
      <c r="I355" s="4" t="s">
        <v>0</v>
      </c>
      <c r="J355" s="7" t="s">
        <v>707</v>
      </c>
      <c r="K355" s="7" t="s">
        <v>45</v>
      </c>
      <c r="L355" s="9" t="str">
        <f>+VLOOKUP(K355,'[1]BASE DE PROVEEDORES'!$A:$B,2,0)</f>
        <v>JOSE RICARDO ANTONIO MOLINA</v>
      </c>
      <c r="M355" s="10">
        <f>4.41+2.2</f>
        <v>6.61</v>
      </c>
      <c r="N355" s="7" t="s">
        <v>2</v>
      </c>
      <c r="O355" s="7" t="s">
        <v>2</v>
      </c>
      <c r="P355" s="10">
        <v>53.33</v>
      </c>
      <c r="Q355" s="29" t="s">
        <v>2</v>
      </c>
      <c r="R355" s="32" t="s">
        <v>2</v>
      </c>
      <c r="S355" s="32" t="s">
        <v>2</v>
      </c>
      <c r="T355" s="29">
        <v>6.93</v>
      </c>
      <c r="U355" s="29">
        <f t="shared" si="52"/>
        <v>66.87</v>
      </c>
      <c r="V355" s="4" t="s">
        <v>3</v>
      </c>
      <c r="X355" s="3">
        <f t="shared" si="53"/>
        <v>6.93</v>
      </c>
    </row>
    <row r="356" spans="1:24" hidden="1" x14ac:dyDescent="0.25">
      <c r="A356" s="7" t="s">
        <v>651</v>
      </c>
      <c r="B356" s="4" t="s">
        <v>706</v>
      </c>
      <c r="C356" s="5" t="str">
        <f t="shared" si="49"/>
        <v>22</v>
      </c>
      <c r="D356" s="5" t="str">
        <f t="shared" si="50"/>
        <v>05</v>
      </c>
      <c r="E356" s="4" t="s">
        <v>30</v>
      </c>
      <c r="F356" s="4" t="s">
        <v>31</v>
      </c>
      <c r="G356" s="8" t="str">
        <f t="shared" si="51"/>
        <v>22/05/2021</v>
      </c>
      <c r="H356" s="4" t="s">
        <v>1</v>
      </c>
      <c r="I356" s="4" t="s">
        <v>0</v>
      </c>
      <c r="J356" s="7" t="s">
        <v>815</v>
      </c>
      <c r="K356" s="7" t="s">
        <v>172</v>
      </c>
      <c r="L356" s="9" t="str">
        <f>+VLOOKUP(K356,'[1]BASE DE PROVEEDORES'!$A:$B,2,0)</f>
        <v>MANEJO INTEGRAL DE DESECHOS SOLIDOS SEM DE C.V.</v>
      </c>
      <c r="M356" s="10">
        <v>0</v>
      </c>
      <c r="N356" s="7" t="s">
        <v>2</v>
      </c>
      <c r="O356" s="7" t="s">
        <v>2</v>
      </c>
      <c r="P356" s="10">
        <v>53.63</v>
      </c>
      <c r="Q356" s="29" t="s">
        <v>2</v>
      </c>
      <c r="R356" s="32" t="s">
        <v>2</v>
      </c>
      <c r="S356" s="32" t="s">
        <v>2</v>
      </c>
      <c r="T356" s="29">
        <v>6.97</v>
      </c>
      <c r="U356" s="29">
        <f t="shared" si="52"/>
        <v>60.6</v>
      </c>
      <c r="V356" s="4" t="s">
        <v>3</v>
      </c>
      <c r="X356" s="3">
        <f t="shared" si="53"/>
        <v>6.97</v>
      </c>
    </row>
    <row r="357" spans="1:24" hidden="1" x14ac:dyDescent="0.25">
      <c r="A357" s="7" t="s">
        <v>651</v>
      </c>
      <c r="B357" s="4" t="s">
        <v>706</v>
      </c>
      <c r="C357" s="5" t="str">
        <f t="shared" si="49"/>
        <v>22</v>
      </c>
      <c r="D357" s="5" t="str">
        <f t="shared" si="50"/>
        <v>05</v>
      </c>
      <c r="E357" s="4" t="s">
        <v>30</v>
      </c>
      <c r="F357" s="4" t="s">
        <v>31</v>
      </c>
      <c r="G357" s="8" t="str">
        <f t="shared" si="51"/>
        <v>22/05/2021</v>
      </c>
      <c r="H357" s="4" t="s">
        <v>1</v>
      </c>
      <c r="I357" s="4" t="s">
        <v>0</v>
      </c>
      <c r="J357" s="7" t="s">
        <v>832</v>
      </c>
      <c r="K357" s="7" t="s">
        <v>172</v>
      </c>
      <c r="L357" s="9" t="str">
        <f>+VLOOKUP(K357,'[1]BASE DE PROVEEDORES'!$A:$B,2,0)</f>
        <v>MANEJO INTEGRAL DE DESECHOS SOLIDOS SEM DE C.V.</v>
      </c>
      <c r="M357" s="10">
        <v>0</v>
      </c>
      <c r="N357" s="7" t="s">
        <v>2</v>
      </c>
      <c r="O357" s="7" t="s">
        <v>2</v>
      </c>
      <c r="P357" s="10">
        <v>56.26</v>
      </c>
      <c r="Q357" s="29" t="s">
        <v>2</v>
      </c>
      <c r="R357" s="32" t="s">
        <v>2</v>
      </c>
      <c r="S357" s="32" t="s">
        <v>2</v>
      </c>
      <c r="T357" s="29">
        <v>7.31</v>
      </c>
      <c r="U357" s="29">
        <f t="shared" si="52"/>
        <v>63.57</v>
      </c>
      <c r="V357" s="4" t="s">
        <v>3</v>
      </c>
      <c r="X357" s="3">
        <f t="shared" si="53"/>
        <v>7.31</v>
      </c>
    </row>
    <row r="358" spans="1:24" hidden="1" x14ac:dyDescent="0.25">
      <c r="A358" s="7" t="s">
        <v>651</v>
      </c>
      <c r="B358" s="4" t="s">
        <v>708</v>
      </c>
      <c r="C358" s="5" t="str">
        <f t="shared" si="49"/>
        <v>24</v>
      </c>
      <c r="D358" s="5" t="str">
        <f t="shared" si="50"/>
        <v>05</v>
      </c>
      <c r="E358" s="4" t="s">
        <v>30</v>
      </c>
      <c r="F358" s="4" t="s">
        <v>31</v>
      </c>
      <c r="G358" s="8" t="str">
        <f t="shared" si="51"/>
        <v>24/05/2021</v>
      </c>
      <c r="H358" s="4" t="s">
        <v>1</v>
      </c>
      <c r="I358" s="4" t="s">
        <v>0</v>
      </c>
      <c r="J358" s="7" t="s">
        <v>709</v>
      </c>
      <c r="K358" s="7" t="s">
        <v>45</v>
      </c>
      <c r="L358" s="9" t="str">
        <f>+VLOOKUP(K358,'[1]BASE DE PROVEEDORES'!$A:$B,2,0)</f>
        <v>JOSE RICARDO ANTONIO MOLINA</v>
      </c>
      <c r="M358" s="10">
        <f>7.06+3.53</f>
        <v>10.59</v>
      </c>
      <c r="N358" s="7" t="s">
        <v>2</v>
      </c>
      <c r="O358" s="7" t="s">
        <v>2</v>
      </c>
      <c r="P358" s="10">
        <v>85.31</v>
      </c>
      <c r="Q358" s="29" t="s">
        <v>2</v>
      </c>
      <c r="R358" s="32" t="s">
        <v>2</v>
      </c>
      <c r="S358" s="32" t="s">
        <v>2</v>
      </c>
      <c r="T358" s="29">
        <v>11.09</v>
      </c>
      <c r="U358" s="29">
        <f t="shared" si="52"/>
        <v>106.99000000000001</v>
      </c>
      <c r="V358" s="4" t="s">
        <v>3</v>
      </c>
      <c r="X358" s="3">
        <f t="shared" si="53"/>
        <v>11.09</v>
      </c>
    </row>
    <row r="359" spans="1:24" hidden="1" x14ac:dyDescent="0.25">
      <c r="A359" s="7" t="s">
        <v>651</v>
      </c>
      <c r="B359" s="4" t="s">
        <v>708</v>
      </c>
      <c r="C359" s="5" t="str">
        <f t="shared" si="49"/>
        <v>24</v>
      </c>
      <c r="D359" s="5" t="str">
        <f t="shared" si="50"/>
        <v>05</v>
      </c>
      <c r="E359" s="4" t="s">
        <v>30</v>
      </c>
      <c r="F359" s="4" t="s">
        <v>31</v>
      </c>
      <c r="G359" s="8" t="str">
        <f t="shared" si="51"/>
        <v>24/05/2021</v>
      </c>
      <c r="H359" s="4" t="s">
        <v>1</v>
      </c>
      <c r="I359" s="4" t="s">
        <v>0</v>
      </c>
      <c r="J359" s="7" t="s">
        <v>729</v>
      </c>
      <c r="K359" s="7" t="s">
        <v>28</v>
      </c>
      <c r="L359" s="9" t="str">
        <f>+VLOOKUP(K359,'[1]BASE DE PROVEEDORES'!$A:$B,2,0)</f>
        <v xml:space="preserve">ACTIVIDADES PETROLERAS DE EL SALVADOR S.A DE C.V </v>
      </c>
      <c r="M359" s="10">
        <f>2.64+1.32</f>
        <v>3.96</v>
      </c>
      <c r="N359" s="7" t="s">
        <v>2</v>
      </c>
      <c r="O359" s="7" t="s">
        <v>2</v>
      </c>
      <c r="P359" s="10">
        <v>31.89</v>
      </c>
      <c r="Q359" s="29" t="s">
        <v>2</v>
      </c>
      <c r="R359" s="32" t="s">
        <v>2</v>
      </c>
      <c r="S359" s="32" t="s">
        <v>2</v>
      </c>
      <c r="T359" s="29">
        <v>4.1500000000000004</v>
      </c>
      <c r="U359" s="29">
        <f t="shared" si="52"/>
        <v>40</v>
      </c>
      <c r="V359" s="4" t="s">
        <v>3</v>
      </c>
      <c r="X359" s="3">
        <f t="shared" si="53"/>
        <v>4.1500000000000004</v>
      </c>
    </row>
    <row r="360" spans="1:24" hidden="1" x14ac:dyDescent="0.25">
      <c r="A360" s="7" t="s">
        <v>651</v>
      </c>
      <c r="B360" s="4" t="s">
        <v>708</v>
      </c>
      <c r="C360" s="5" t="str">
        <f t="shared" si="49"/>
        <v>24</v>
      </c>
      <c r="D360" s="5" t="str">
        <f t="shared" si="50"/>
        <v>05</v>
      </c>
      <c r="E360" s="4" t="s">
        <v>30</v>
      </c>
      <c r="F360" s="4" t="s">
        <v>31</v>
      </c>
      <c r="G360" s="8" t="str">
        <f t="shared" si="51"/>
        <v>24/05/2021</v>
      </c>
      <c r="H360" s="4" t="s">
        <v>1</v>
      </c>
      <c r="I360" s="4" t="s">
        <v>0</v>
      </c>
      <c r="J360" s="7" t="s">
        <v>805</v>
      </c>
      <c r="K360" s="7" t="s">
        <v>172</v>
      </c>
      <c r="L360" s="9" t="str">
        <f>+VLOOKUP(K360,'[1]BASE DE PROVEEDORES'!$A:$B,2,0)</f>
        <v>MANEJO INTEGRAL DE DESECHOS SOLIDOS SEM DE C.V.</v>
      </c>
      <c r="M360" s="10">
        <v>0</v>
      </c>
      <c r="N360" s="7" t="s">
        <v>2</v>
      </c>
      <c r="O360" s="7" t="s">
        <v>2</v>
      </c>
      <c r="P360" s="10">
        <v>56.26</v>
      </c>
      <c r="Q360" s="29" t="s">
        <v>2</v>
      </c>
      <c r="R360" s="32" t="s">
        <v>2</v>
      </c>
      <c r="S360" s="32" t="s">
        <v>2</v>
      </c>
      <c r="T360" s="29">
        <v>7.31</v>
      </c>
      <c r="U360" s="29">
        <f t="shared" si="52"/>
        <v>63.57</v>
      </c>
      <c r="V360" s="4" t="s">
        <v>3</v>
      </c>
      <c r="X360" s="3">
        <f t="shared" si="53"/>
        <v>7.31</v>
      </c>
    </row>
    <row r="361" spans="1:24" hidden="1" x14ac:dyDescent="0.25">
      <c r="A361" s="7" t="s">
        <v>651</v>
      </c>
      <c r="B361" s="4" t="s">
        <v>708</v>
      </c>
      <c r="C361" s="5" t="str">
        <f t="shared" si="49"/>
        <v>24</v>
      </c>
      <c r="D361" s="5" t="str">
        <f t="shared" si="50"/>
        <v>05</v>
      </c>
      <c r="E361" s="4" t="s">
        <v>30</v>
      </c>
      <c r="F361" s="4" t="s">
        <v>31</v>
      </c>
      <c r="G361" s="8" t="str">
        <f t="shared" si="51"/>
        <v>24/05/2021</v>
      </c>
      <c r="H361" s="4" t="s">
        <v>1</v>
      </c>
      <c r="I361" s="4" t="s">
        <v>0</v>
      </c>
      <c r="J361" s="7" t="s">
        <v>833</v>
      </c>
      <c r="K361" s="7" t="s">
        <v>172</v>
      </c>
      <c r="L361" s="9" t="str">
        <f>+VLOOKUP(K361,'[1]BASE DE PROVEEDORES'!$A:$B,2,0)</f>
        <v>MANEJO INTEGRAL DE DESECHOS SOLIDOS SEM DE C.V.</v>
      </c>
      <c r="M361" s="10">
        <v>0</v>
      </c>
      <c r="N361" s="7" t="s">
        <v>2</v>
      </c>
      <c r="O361" s="7" t="s">
        <v>2</v>
      </c>
      <c r="P361" s="10">
        <v>56.26</v>
      </c>
      <c r="Q361" s="29" t="s">
        <v>2</v>
      </c>
      <c r="R361" s="32" t="s">
        <v>2</v>
      </c>
      <c r="S361" s="32" t="s">
        <v>2</v>
      </c>
      <c r="T361" s="29">
        <v>7.31</v>
      </c>
      <c r="U361" s="29">
        <f t="shared" si="52"/>
        <v>63.57</v>
      </c>
      <c r="V361" s="4" t="s">
        <v>3</v>
      </c>
      <c r="X361" s="3">
        <f t="shared" si="53"/>
        <v>7.31</v>
      </c>
    </row>
    <row r="362" spans="1:24" hidden="1" x14ac:dyDescent="0.25">
      <c r="A362" s="7" t="s">
        <v>651</v>
      </c>
      <c r="B362" s="4" t="s">
        <v>710</v>
      </c>
      <c r="C362" s="5" t="str">
        <f t="shared" si="49"/>
        <v>25</v>
      </c>
      <c r="D362" s="5" t="str">
        <f t="shared" si="50"/>
        <v>05</v>
      </c>
      <c r="E362" s="4" t="s">
        <v>30</v>
      </c>
      <c r="F362" s="4" t="s">
        <v>31</v>
      </c>
      <c r="G362" s="8" t="str">
        <f t="shared" si="51"/>
        <v>25/05/2021</v>
      </c>
      <c r="H362" s="4" t="s">
        <v>1</v>
      </c>
      <c r="I362" s="4" t="s">
        <v>0</v>
      </c>
      <c r="J362" s="7" t="s">
        <v>711</v>
      </c>
      <c r="K362" s="7" t="s">
        <v>45</v>
      </c>
      <c r="L362" s="9" t="str">
        <f>+VLOOKUP(K362,'[1]BASE DE PROVEEDORES'!$A:$B,2,0)</f>
        <v>JOSE RICARDO ANTONIO MOLINA</v>
      </c>
      <c r="M362" s="10">
        <f>3.75+1.87</f>
        <v>5.62</v>
      </c>
      <c r="N362" s="7" t="s">
        <v>2</v>
      </c>
      <c r="O362" s="7" t="s">
        <v>2</v>
      </c>
      <c r="P362" s="10">
        <v>45.34</v>
      </c>
      <c r="Q362" s="29" t="s">
        <v>2</v>
      </c>
      <c r="R362" s="32" t="s">
        <v>2</v>
      </c>
      <c r="S362" s="32" t="s">
        <v>2</v>
      </c>
      <c r="T362" s="29">
        <v>5.89</v>
      </c>
      <c r="U362" s="29">
        <f t="shared" si="52"/>
        <v>56.85</v>
      </c>
      <c r="V362" s="4" t="s">
        <v>3</v>
      </c>
      <c r="X362" s="3">
        <f t="shared" si="53"/>
        <v>5.89</v>
      </c>
    </row>
    <row r="363" spans="1:24" hidden="1" x14ac:dyDescent="0.25">
      <c r="A363" s="7" t="s">
        <v>651</v>
      </c>
      <c r="B363" s="4" t="s">
        <v>710</v>
      </c>
      <c r="C363" s="5" t="str">
        <f t="shared" si="49"/>
        <v>25</v>
      </c>
      <c r="D363" s="5" t="str">
        <f t="shared" si="50"/>
        <v>05</v>
      </c>
      <c r="E363" s="4" t="s">
        <v>30</v>
      </c>
      <c r="F363" s="4" t="s">
        <v>31</v>
      </c>
      <c r="G363" s="8" t="str">
        <f t="shared" si="51"/>
        <v>25/05/2021</v>
      </c>
      <c r="H363" s="4" t="s">
        <v>1</v>
      </c>
      <c r="I363" s="4" t="s">
        <v>0</v>
      </c>
      <c r="J363" s="7" t="s">
        <v>825</v>
      </c>
      <c r="K363" s="7" t="s">
        <v>172</v>
      </c>
      <c r="L363" s="9" t="str">
        <f>+VLOOKUP(K363,'[1]BASE DE PROVEEDORES'!$A:$B,2,0)</f>
        <v>MANEJO INTEGRAL DE DESECHOS SOLIDOS SEM DE C.V.</v>
      </c>
      <c r="M363" s="10">
        <v>0</v>
      </c>
      <c r="N363" s="7" t="s">
        <v>2</v>
      </c>
      <c r="O363" s="7" t="s">
        <v>2</v>
      </c>
      <c r="P363" s="10">
        <v>57.28</v>
      </c>
      <c r="Q363" s="29" t="s">
        <v>2</v>
      </c>
      <c r="R363" s="32" t="s">
        <v>2</v>
      </c>
      <c r="S363" s="32" t="s">
        <v>2</v>
      </c>
      <c r="T363" s="29">
        <v>7.45</v>
      </c>
      <c r="U363" s="29">
        <f t="shared" si="52"/>
        <v>64.73</v>
      </c>
      <c r="V363" s="4" t="s">
        <v>3</v>
      </c>
      <c r="X363" s="3">
        <f t="shared" si="53"/>
        <v>7.45</v>
      </c>
    </row>
    <row r="364" spans="1:24" hidden="1" x14ac:dyDescent="0.25">
      <c r="A364" s="7" t="s">
        <v>651</v>
      </c>
      <c r="B364" s="4" t="s">
        <v>660</v>
      </c>
      <c r="C364" s="5" t="str">
        <f t="shared" si="49"/>
        <v>26</v>
      </c>
      <c r="D364" s="5" t="str">
        <f t="shared" si="50"/>
        <v>05</v>
      </c>
      <c r="E364" s="4" t="s">
        <v>30</v>
      </c>
      <c r="F364" s="4" t="s">
        <v>31</v>
      </c>
      <c r="G364" s="8" t="str">
        <f t="shared" si="51"/>
        <v>26/05/2021</v>
      </c>
      <c r="H364" s="4" t="s">
        <v>1</v>
      </c>
      <c r="I364" s="4" t="s">
        <v>0</v>
      </c>
      <c r="J364" s="7" t="s">
        <v>712</v>
      </c>
      <c r="K364" s="7" t="s">
        <v>45</v>
      </c>
      <c r="L364" s="9" t="str">
        <f>+VLOOKUP(K364,'[1]BASE DE PROVEEDORES'!$A:$B,2,0)</f>
        <v>JOSE RICARDO ANTONIO MOLINA</v>
      </c>
      <c r="M364" s="10">
        <f>1.61+0.81</f>
        <v>2.42</v>
      </c>
      <c r="N364" s="7" t="s">
        <v>2</v>
      </c>
      <c r="O364" s="7" t="s">
        <v>2</v>
      </c>
      <c r="P364" s="10">
        <v>19.45</v>
      </c>
      <c r="Q364" s="29" t="s">
        <v>2</v>
      </c>
      <c r="R364" s="32" t="s">
        <v>2</v>
      </c>
      <c r="S364" s="32" t="s">
        <v>2</v>
      </c>
      <c r="T364" s="29">
        <v>2.5299999999999998</v>
      </c>
      <c r="U364" s="29">
        <f t="shared" si="52"/>
        <v>24.4</v>
      </c>
      <c r="V364" s="4" t="s">
        <v>3</v>
      </c>
      <c r="X364" s="3">
        <f t="shared" si="53"/>
        <v>2.5299999999999998</v>
      </c>
    </row>
    <row r="365" spans="1:24" hidden="1" x14ac:dyDescent="0.25">
      <c r="A365" s="7" t="s">
        <v>651</v>
      </c>
      <c r="B365" s="4" t="s">
        <v>660</v>
      </c>
      <c r="C365" s="5" t="str">
        <f t="shared" si="49"/>
        <v>26</v>
      </c>
      <c r="D365" s="5" t="str">
        <f t="shared" si="50"/>
        <v>05</v>
      </c>
      <c r="E365" s="4" t="s">
        <v>30</v>
      </c>
      <c r="F365" s="4" t="s">
        <v>31</v>
      </c>
      <c r="G365" s="8" t="str">
        <f t="shared" si="51"/>
        <v>26/05/2021</v>
      </c>
      <c r="H365" s="4" t="s">
        <v>1</v>
      </c>
      <c r="I365" s="4" t="s">
        <v>0</v>
      </c>
      <c r="J365" s="7" t="s">
        <v>713</v>
      </c>
      <c r="K365" s="7" t="s">
        <v>45</v>
      </c>
      <c r="L365" s="9" t="str">
        <f>+VLOOKUP(K365,'[1]BASE DE PROVEEDORES'!$A:$B,2,0)</f>
        <v>JOSE RICARDO ANTONIO MOLINA</v>
      </c>
      <c r="M365" s="10">
        <f>7.64+3.82</f>
        <v>11.459999999999999</v>
      </c>
      <c r="N365" s="7" t="s">
        <v>2</v>
      </c>
      <c r="O365" s="7" t="s">
        <v>2</v>
      </c>
      <c r="P365" s="10">
        <v>92.3</v>
      </c>
      <c r="Q365" s="29" t="s">
        <v>2</v>
      </c>
      <c r="R365" s="32" t="s">
        <v>2</v>
      </c>
      <c r="S365" s="32" t="s">
        <v>2</v>
      </c>
      <c r="T365" s="29">
        <v>12</v>
      </c>
      <c r="U365" s="29">
        <f t="shared" si="52"/>
        <v>115.75999999999999</v>
      </c>
      <c r="V365" s="4" t="s">
        <v>3</v>
      </c>
      <c r="X365" s="3">
        <f t="shared" si="53"/>
        <v>12</v>
      </c>
    </row>
    <row r="366" spans="1:24" hidden="1" x14ac:dyDescent="0.25">
      <c r="A366" s="7" t="s">
        <v>651</v>
      </c>
      <c r="B366" s="4" t="s">
        <v>660</v>
      </c>
      <c r="C366" s="5" t="str">
        <f t="shared" si="49"/>
        <v>26</v>
      </c>
      <c r="D366" s="5" t="str">
        <f t="shared" si="50"/>
        <v>05</v>
      </c>
      <c r="E366" s="4" t="s">
        <v>30</v>
      </c>
      <c r="F366" s="4" t="s">
        <v>31</v>
      </c>
      <c r="G366" s="8" t="str">
        <f t="shared" si="51"/>
        <v>26/05/2021</v>
      </c>
      <c r="H366" s="4" t="s">
        <v>1</v>
      </c>
      <c r="I366" s="4" t="s">
        <v>0</v>
      </c>
      <c r="J366" s="7" t="s">
        <v>726</v>
      </c>
      <c r="K366" s="7" t="s">
        <v>28</v>
      </c>
      <c r="L366" s="9" t="str">
        <f>+VLOOKUP(K366,'[1]BASE DE PROVEEDORES'!$A:$B,2,0)</f>
        <v xml:space="preserve">ACTIVIDADES PETROLERAS DE EL SALVADOR S.A DE C.V </v>
      </c>
      <c r="M366" s="10">
        <f>2.57+1.29</f>
        <v>3.86</v>
      </c>
      <c r="N366" s="7" t="s">
        <v>2</v>
      </c>
      <c r="O366" s="7" t="s">
        <v>2</v>
      </c>
      <c r="P366" s="10">
        <v>31.09</v>
      </c>
      <c r="Q366" s="29" t="s">
        <v>2</v>
      </c>
      <c r="R366" s="32" t="s">
        <v>2</v>
      </c>
      <c r="S366" s="32" t="s">
        <v>2</v>
      </c>
      <c r="T366" s="29">
        <v>4.04</v>
      </c>
      <c r="U366" s="29">
        <f t="shared" si="52"/>
        <v>38.99</v>
      </c>
      <c r="V366" s="4" t="s">
        <v>3</v>
      </c>
      <c r="X366" s="3">
        <f t="shared" si="53"/>
        <v>4.04</v>
      </c>
    </row>
    <row r="367" spans="1:24" hidden="1" x14ac:dyDescent="0.25">
      <c r="A367" s="7" t="s">
        <v>651</v>
      </c>
      <c r="B367" s="4" t="s">
        <v>660</v>
      </c>
      <c r="C367" s="5" t="str">
        <f t="shared" si="49"/>
        <v>26</v>
      </c>
      <c r="D367" s="5" t="str">
        <f t="shared" si="50"/>
        <v>05</v>
      </c>
      <c r="E367" s="4" t="s">
        <v>30</v>
      </c>
      <c r="F367" s="4" t="s">
        <v>31</v>
      </c>
      <c r="G367" s="8" t="str">
        <f t="shared" si="51"/>
        <v>26/05/2021</v>
      </c>
      <c r="H367" s="4" t="s">
        <v>1</v>
      </c>
      <c r="I367" s="4" t="s">
        <v>0</v>
      </c>
      <c r="J367" s="7" t="s">
        <v>727</v>
      </c>
      <c r="K367" s="7" t="s">
        <v>28</v>
      </c>
      <c r="L367" s="9" t="str">
        <f>+VLOOKUP(K367,'[1]BASE DE PROVEEDORES'!$A:$B,2,0)</f>
        <v xml:space="preserve">ACTIVIDADES PETROLERAS DE EL SALVADOR S.A DE C.V </v>
      </c>
      <c r="M367" s="10">
        <f>1.76+0.88</f>
        <v>2.64</v>
      </c>
      <c r="N367" s="7" t="s">
        <v>2</v>
      </c>
      <c r="O367" s="7" t="s">
        <v>2</v>
      </c>
      <c r="P367" s="10">
        <v>25.08</v>
      </c>
      <c r="Q367" s="29" t="s">
        <v>2</v>
      </c>
      <c r="R367" s="32" t="s">
        <v>2</v>
      </c>
      <c r="S367" s="32" t="s">
        <v>2</v>
      </c>
      <c r="T367" s="29">
        <v>3.26</v>
      </c>
      <c r="U367" s="29">
        <f t="shared" si="52"/>
        <v>30.979999999999997</v>
      </c>
      <c r="V367" s="4" t="s">
        <v>3</v>
      </c>
      <c r="X367" s="3">
        <f t="shared" si="53"/>
        <v>3.26</v>
      </c>
    </row>
    <row r="368" spans="1:24" hidden="1" x14ac:dyDescent="0.25">
      <c r="A368" s="7" t="s">
        <v>651</v>
      </c>
      <c r="B368" s="4" t="s">
        <v>660</v>
      </c>
      <c r="C368" s="5" t="str">
        <f t="shared" si="49"/>
        <v>26</v>
      </c>
      <c r="D368" s="5" t="str">
        <f t="shared" si="50"/>
        <v>05</v>
      </c>
      <c r="E368" s="4" t="s">
        <v>30</v>
      </c>
      <c r="F368" s="4" t="s">
        <v>31</v>
      </c>
      <c r="G368" s="8" t="str">
        <f t="shared" si="51"/>
        <v>26/05/2021</v>
      </c>
      <c r="H368" s="4" t="s">
        <v>1</v>
      </c>
      <c r="I368" s="4" t="s">
        <v>0</v>
      </c>
      <c r="J368" s="7" t="s">
        <v>728</v>
      </c>
      <c r="K368" s="7" t="s">
        <v>28</v>
      </c>
      <c r="L368" s="9" t="str">
        <f>+VLOOKUP(K368,'[1]BASE DE PROVEEDORES'!$A:$B,2,0)</f>
        <v xml:space="preserve">ACTIVIDADES PETROLERAS DE EL SALVADOR S.A DE C.V </v>
      </c>
      <c r="M368" s="10">
        <f>1.98+0.99</f>
        <v>2.9699999999999998</v>
      </c>
      <c r="N368" s="7" t="s">
        <v>2</v>
      </c>
      <c r="O368" s="7" t="s">
        <v>2</v>
      </c>
      <c r="P368" s="10">
        <v>23.92</v>
      </c>
      <c r="Q368" s="29" t="s">
        <v>2</v>
      </c>
      <c r="R368" s="32" t="s">
        <v>2</v>
      </c>
      <c r="S368" s="32" t="s">
        <v>2</v>
      </c>
      <c r="T368" s="29">
        <v>3.11</v>
      </c>
      <c r="U368" s="29">
        <f t="shared" si="52"/>
        <v>30</v>
      </c>
      <c r="V368" s="4" t="s">
        <v>3</v>
      </c>
      <c r="X368" s="3">
        <f t="shared" si="53"/>
        <v>3.11</v>
      </c>
    </row>
    <row r="369" spans="1:24" hidden="1" x14ac:dyDescent="0.25">
      <c r="A369" s="7" t="s">
        <v>651</v>
      </c>
      <c r="B369" s="4" t="s">
        <v>660</v>
      </c>
      <c r="C369" s="5" t="str">
        <f t="shared" si="49"/>
        <v>26</v>
      </c>
      <c r="D369" s="5" t="str">
        <f t="shared" si="50"/>
        <v>05</v>
      </c>
      <c r="E369" s="4" t="s">
        <v>30</v>
      </c>
      <c r="F369" s="4" t="s">
        <v>31</v>
      </c>
      <c r="G369" s="8" t="str">
        <f t="shared" si="51"/>
        <v>26/05/2021</v>
      </c>
      <c r="H369" s="4" t="s">
        <v>1</v>
      </c>
      <c r="I369" s="4" t="s">
        <v>0</v>
      </c>
      <c r="J369" s="7" t="s">
        <v>816</v>
      </c>
      <c r="K369" s="7" t="s">
        <v>172</v>
      </c>
      <c r="L369" s="9" t="str">
        <f>+VLOOKUP(K369,'[1]BASE DE PROVEEDORES'!$A:$B,2,0)</f>
        <v>MANEJO INTEGRAL DE DESECHOS SOLIDOS SEM DE C.V.</v>
      </c>
      <c r="M369" s="10">
        <v>0</v>
      </c>
      <c r="N369" s="7" t="s">
        <v>2</v>
      </c>
      <c r="O369" s="7" t="s">
        <v>2</v>
      </c>
      <c r="P369" s="10">
        <v>83.67</v>
      </c>
      <c r="Q369" s="29" t="s">
        <v>2</v>
      </c>
      <c r="R369" s="32" t="s">
        <v>2</v>
      </c>
      <c r="S369" s="32" t="s">
        <v>2</v>
      </c>
      <c r="T369" s="29">
        <v>10.88</v>
      </c>
      <c r="U369" s="29">
        <f t="shared" si="52"/>
        <v>94.55</v>
      </c>
      <c r="V369" s="4" t="s">
        <v>3</v>
      </c>
      <c r="X369" s="3">
        <f t="shared" si="53"/>
        <v>10.88</v>
      </c>
    </row>
    <row r="370" spans="1:24" hidden="1" x14ac:dyDescent="0.25">
      <c r="A370" s="7" t="s">
        <v>651</v>
      </c>
      <c r="B370" s="4" t="s">
        <v>714</v>
      </c>
      <c r="C370" s="5" t="str">
        <f t="shared" si="49"/>
        <v>27</v>
      </c>
      <c r="D370" s="5" t="str">
        <f t="shared" si="50"/>
        <v>05</v>
      </c>
      <c r="E370" s="4" t="s">
        <v>30</v>
      </c>
      <c r="F370" s="4" t="s">
        <v>31</v>
      </c>
      <c r="G370" s="8" t="str">
        <f t="shared" si="51"/>
        <v>27/05/2021</v>
      </c>
      <c r="H370" s="4" t="s">
        <v>1</v>
      </c>
      <c r="I370" s="4" t="s">
        <v>0</v>
      </c>
      <c r="J370" s="7" t="s">
        <v>715</v>
      </c>
      <c r="K370" s="7" t="s">
        <v>45</v>
      </c>
      <c r="L370" s="9" t="str">
        <f>+VLOOKUP(K370,'[1]BASE DE PROVEEDORES'!$A:$B,2,0)</f>
        <v>JOSE RICARDO ANTONIO MOLINA</v>
      </c>
      <c r="M370" s="10">
        <f>4.99+2.5</f>
        <v>7.49</v>
      </c>
      <c r="N370" s="7" t="s">
        <v>2</v>
      </c>
      <c r="O370" s="7" t="s">
        <v>2</v>
      </c>
      <c r="P370" s="10">
        <v>60.33</v>
      </c>
      <c r="Q370" s="29" t="s">
        <v>2</v>
      </c>
      <c r="R370" s="32" t="s">
        <v>2</v>
      </c>
      <c r="S370" s="32" t="s">
        <v>2</v>
      </c>
      <c r="T370" s="29">
        <v>7.84</v>
      </c>
      <c r="U370" s="29">
        <f t="shared" si="52"/>
        <v>75.66</v>
      </c>
      <c r="V370" s="4" t="s">
        <v>3</v>
      </c>
      <c r="X370" s="3">
        <f t="shared" si="53"/>
        <v>7.84</v>
      </c>
    </row>
    <row r="371" spans="1:24" hidden="1" x14ac:dyDescent="0.25">
      <c r="A371" s="7" t="s">
        <v>651</v>
      </c>
      <c r="B371" s="4" t="s">
        <v>714</v>
      </c>
      <c r="C371" s="5" t="str">
        <f t="shared" si="49"/>
        <v>27</v>
      </c>
      <c r="D371" s="5" t="str">
        <f t="shared" si="50"/>
        <v>05</v>
      </c>
      <c r="E371" s="4" t="s">
        <v>30</v>
      </c>
      <c r="F371" s="4" t="s">
        <v>31</v>
      </c>
      <c r="G371" s="8" t="str">
        <f t="shared" si="51"/>
        <v>27/05/2021</v>
      </c>
      <c r="H371" s="4" t="s">
        <v>1</v>
      </c>
      <c r="I371" s="4" t="s">
        <v>0</v>
      </c>
      <c r="J371" s="7" t="s">
        <v>817</v>
      </c>
      <c r="K371" s="7" t="s">
        <v>172</v>
      </c>
      <c r="L371" s="9" t="str">
        <f>+VLOOKUP(K371,'[1]BASE DE PROVEEDORES'!$A:$B,2,0)</f>
        <v>MANEJO INTEGRAL DE DESECHOS SOLIDOS SEM DE C.V.</v>
      </c>
      <c r="M371" s="10">
        <v>0</v>
      </c>
      <c r="N371" s="7" t="s">
        <v>2</v>
      </c>
      <c r="O371" s="7" t="s">
        <v>2</v>
      </c>
      <c r="P371" s="10">
        <v>45.2</v>
      </c>
      <c r="Q371" s="29" t="s">
        <v>2</v>
      </c>
      <c r="R371" s="32" t="s">
        <v>2</v>
      </c>
      <c r="S371" s="32" t="s">
        <v>2</v>
      </c>
      <c r="T371" s="29">
        <v>5.88</v>
      </c>
      <c r="U371" s="29">
        <f t="shared" si="52"/>
        <v>51.080000000000005</v>
      </c>
      <c r="V371" s="4" t="s">
        <v>3</v>
      </c>
      <c r="X371" s="3">
        <f t="shared" si="53"/>
        <v>5.88</v>
      </c>
    </row>
    <row r="372" spans="1:24" hidden="1" x14ac:dyDescent="0.25">
      <c r="A372" s="7" t="s">
        <v>651</v>
      </c>
      <c r="B372" s="4" t="s">
        <v>716</v>
      </c>
      <c r="C372" s="5" t="str">
        <f t="shared" ref="C372:C384" si="54">+LEFT(B372,2)</f>
        <v>28</v>
      </c>
      <c r="D372" s="5" t="str">
        <f t="shared" ref="D372:D384" si="55">+RIGHT(B372,2)</f>
        <v>05</v>
      </c>
      <c r="E372" s="4" t="s">
        <v>30</v>
      </c>
      <c r="F372" s="4" t="s">
        <v>31</v>
      </c>
      <c r="G372" s="8" t="str">
        <f t="shared" ref="G372:G384" si="56">+C372&amp;F372&amp;D372&amp;F372&amp;E372</f>
        <v>28/05/2021</v>
      </c>
      <c r="H372" s="4" t="s">
        <v>1</v>
      </c>
      <c r="I372" s="4" t="s">
        <v>0</v>
      </c>
      <c r="J372" s="7" t="s">
        <v>717</v>
      </c>
      <c r="K372" s="7" t="s">
        <v>45</v>
      </c>
      <c r="L372" s="9" t="str">
        <f>+VLOOKUP(K372,'[1]BASE DE PROVEEDORES'!$A:$B,2,0)</f>
        <v>JOSE RICARDO ANTONIO MOLINA</v>
      </c>
      <c r="M372" s="10">
        <f>7.33+3.66</f>
        <v>10.99</v>
      </c>
      <c r="N372" s="7" t="s">
        <v>2</v>
      </c>
      <c r="O372" s="7" t="s">
        <v>2</v>
      </c>
      <c r="P372" s="10">
        <v>88.5</v>
      </c>
      <c r="Q372" s="29" t="s">
        <v>2</v>
      </c>
      <c r="R372" s="32" t="s">
        <v>2</v>
      </c>
      <c r="S372" s="32" t="s">
        <v>2</v>
      </c>
      <c r="T372" s="29">
        <v>11.51</v>
      </c>
      <c r="U372" s="29">
        <f t="shared" ref="U372:U384" si="57">+M372+P372+T372</f>
        <v>111</v>
      </c>
      <c r="V372" s="4" t="s">
        <v>3</v>
      </c>
      <c r="X372" s="3">
        <f t="shared" ref="X372:X384" si="58">+ROUND(T372,2)</f>
        <v>11.51</v>
      </c>
    </row>
    <row r="373" spans="1:24" hidden="1" x14ac:dyDescent="0.25">
      <c r="A373" s="7" t="s">
        <v>651</v>
      </c>
      <c r="B373" s="4" t="s">
        <v>716</v>
      </c>
      <c r="C373" s="5" t="str">
        <f t="shared" si="54"/>
        <v>28</v>
      </c>
      <c r="D373" s="5" t="str">
        <f t="shared" si="55"/>
        <v>05</v>
      </c>
      <c r="E373" s="4" t="s">
        <v>30</v>
      </c>
      <c r="F373" s="4" t="s">
        <v>31</v>
      </c>
      <c r="G373" s="8" t="str">
        <f t="shared" si="56"/>
        <v>28/05/2021</v>
      </c>
      <c r="H373" s="4" t="s">
        <v>1</v>
      </c>
      <c r="I373" s="4" t="s">
        <v>0</v>
      </c>
      <c r="J373" s="7" t="s">
        <v>718</v>
      </c>
      <c r="K373" s="7" t="s">
        <v>45</v>
      </c>
      <c r="L373" s="9" t="str">
        <f>+VLOOKUP(K373,'[1]BASE DE PROVEEDORES'!$A:$B,2,0)</f>
        <v>JOSE RICARDO ANTONIO MOLINA</v>
      </c>
      <c r="M373" s="10">
        <f>5.89+2.94</f>
        <v>8.83</v>
      </c>
      <c r="N373" s="7" t="s">
        <v>2</v>
      </c>
      <c r="O373" s="7" t="s">
        <v>2</v>
      </c>
      <c r="P373" s="10">
        <v>71.13</v>
      </c>
      <c r="Q373" s="29" t="s">
        <v>2</v>
      </c>
      <c r="R373" s="32" t="s">
        <v>2</v>
      </c>
      <c r="S373" s="32" t="s">
        <v>2</v>
      </c>
      <c r="T373" s="29">
        <v>9.25</v>
      </c>
      <c r="U373" s="29">
        <f t="shared" si="57"/>
        <v>89.21</v>
      </c>
      <c r="V373" s="4" t="s">
        <v>3</v>
      </c>
      <c r="X373" s="3">
        <f t="shared" si="58"/>
        <v>9.25</v>
      </c>
    </row>
    <row r="374" spans="1:24" hidden="1" x14ac:dyDescent="0.25">
      <c r="A374" s="7" t="s">
        <v>651</v>
      </c>
      <c r="B374" s="4" t="s">
        <v>716</v>
      </c>
      <c r="C374" s="5" t="str">
        <f t="shared" si="54"/>
        <v>28</v>
      </c>
      <c r="D374" s="5" t="str">
        <f t="shared" si="55"/>
        <v>05</v>
      </c>
      <c r="E374" s="4" t="s">
        <v>30</v>
      </c>
      <c r="F374" s="4" t="s">
        <v>31</v>
      </c>
      <c r="G374" s="8" t="str">
        <f t="shared" si="56"/>
        <v>28/05/2021</v>
      </c>
      <c r="H374" s="4" t="s">
        <v>1</v>
      </c>
      <c r="I374" s="4" t="s">
        <v>0</v>
      </c>
      <c r="J374" s="7" t="s">
        <v>826</v>
      </c>
      <c r="K374" s="7" t="s">
        <v>172</v>
      </c>
      <c r="L374" s="9" t="str">
        <f>+VLOOKUP(K374,'[1]BASE DE PROVEEDORES'!$A:$B,2,0)</f>
        <v>MANEJO INTEGRAL DE DESECHOS SOLIDOS SEM DE C.V.</v>
      </c>
      <c r="M374" s="10">
        <v>0</v>
      </c>
      <c r="N374" s="7" t="s">
        <v>2</v>
      </c>
      <c r="O374" s="7" t="s">
        <v>2</v>
      </c>
      <c r="P374" s="10">
        <v>45.2</v>
      </c>
      <c r="Q374" s="29" t="s">
        <v>2</v>
      </c>
      <c r="R374" s="32" t="s">
        <v>2</v>
      </c>
      <c r="S374" s="32" t="s">
        <v>2</v>
      </c>
      <c r="T374" s="29">
        <v>5.88</v>
      </c>
      <c r="U374" s="29">
        <f t="shared" si="57"/>
        <v>51.080000000000005</v>
      </c>
      <c r="V374" s="4" t="s">
        <v>3</v>
      </c>
      <c r="X374" s="3">
        <f t="shared" si="58"/>
        <v>5.88</v>
      </c>
    </row>
    <row r="375" spans="1:24" hidden="1" x14ac:dyDescent="0.25">
      <c r="A375" s="7" t="s">
        <v>651</v>
      </c>
      <c r="B375" s="4" t="s">
        <v>723</v>
      </c>
      <c r="C375" s="5" t="str">
        <f t="shared" si="54"/>
        <v>29</v>
      </c>
      <c r="D375" s="5" t="str">
        <f t="shared" si="55"/>
        <v>05</v>
      </c>
      <c r="E375" s="4" t="s">
        <v>30</v>
      </c>
      <c r="F375" s="4" t="s">
        <v>31</v>
      </c>
      <c r="G375" s="8" t="str">
        <f t="shared" si="56"/>
        <v>29/05/2021</v>
      </c>
      <c r="H375" s="4" t="s">
        <v>1</v>
      </c>
      <c r="I375" s="4" t="s">
        <v>0</v>
      </c>
      <c r="J375" s="7" t="s">
        <v>724</v>
      </c>
      <c r="K375" s="7" t="s">
        <v>28</v>
      </c>
      <c r="L375" s="9" t="str">
        <f>+VLOOKUP(K375,'[1]BASE DE PROVEEDORES'!$A:$B,2,0)</f>
        <v xml:space="preserve">ACTIVIDADES PETROLERAS DE EL SALVADOR S.A DE C.V </v>
      </c>
      <c r="M375" s="10">
        <f>2.2+1.1</f>
        <v>3.3000000000000003</v>
      </c>
      <c r="N375" s="7" t="s">
        <v>2</v>
      </c>
      <c r="O375" s="7" t="s">
        <v>2</v>
      </c>
      <c r="P375" s="10">
        <v>26.62</v>
      </c>
      <c r="Q375" s="29" t="s">
        <v>2</v>
      </c>
      <c r="R375" s="32" t="s">
        <v>2</v>
      </c>
      <c r="S375" s="32" t="s">
        <v>2</v>
      </c>
      <c r="T375" s="29">
        <v>3.46</v>
      </c>
      <c r="U375" s="29">
        <f t="shared" si="57"/>
        <v>33.380000000000003</v>
      </c>
      <c r="V375" s="4" t="s">
        <v>3</v>
      </c>
      <c r="X375" s="3">
        <f t="shared" si="58"/>
        <v>3.46</v>
      </c>
    </row>
    <row r="376" spans="1:24" hidden="1" x14ac:dyDescent="0.25">
      <c r="A376" s="7" t="s">
        <v>651</v>
      </c>
      <c r="B376" s="4" t="s">
        <v>723</v>
      </c>
      <c r="C376" s="5" t="str">
        <f t="shared" si="54"/>
        <v>29</v>
      </c>
      <c r="D376" s="5" t="str">
        <f t="shared" si="55"/>
        <v>05</v>
      </c>
      <c r="E376" s="4" t="s">
        <v>30</v>
      </c>
      <c r="F376" s="4" t="s">
        <v>31</v>
      </c>
      <c r="G376" s="8" t="str">
        <f t="shared" si="56"/>
        <v>29/05/2021</v>
      </c>
      <c r="H376" s="4" t="s">
        <v>1</v>
      </c>
      <c r="I376" s="4" t="s">
        <v>0</v>
      </c>
      <c r="J376" s="7" t="s">
        <v>725</v>
      </c>
      <c r="K376" s="7" t="s">
        <v>28</v>
      </c>
      <c r="L376" s="9" t="str">
        <f>+VLOOKUP(K376,'[1]BASE DE PROVEEDORES'!$A:$B,2,0)</f>
        <v xml:space="preserve">ACTIVIDADES PETROLERAS DE EL SALVADOR S.A DE C.V </v>
      </c>
      <c r="M376" s="10">
        <f>3.63+1.81</f>
        <v>5.4399999999999995</v>
      </c>
      <c r="N376" s="7" t="s">
        <v>2</v>
      </c>
      <c r="O376" s="7" t="s">
        <v>2</v>
      </c>
      <c r="P376" s="10">
        <v>43.85</v>
      </c>
      <c r="Q376" s="29" t="s">
        <v>2</v>
      </c>
      <c r="R376" s="32" t="s">
        <v>2</v>
      </c>
      <c r="S376" s="32" t="s">
        <v>2</v>
      </c>
      <c r="T376" s="29">
        <v>5.7</v>
      </c>
      <c r="U376" s="29">
        <f t="shared" si="57"/>
        <v>54.99</v>
      </c>
      <c r="V376" s="4" t="s">
        <v>3</v>
      </c>
      <c r="X376" s="3">
        <f t="shared" si="58"/>
        <v>5.7</v>
      </c>
    </row>
    <row r="377" spans="1:24" hidden="1" x14ac:dyDescent="0.25">
      <c r="A377" s="7" t="s">
        <v>651</v>
      </c>
      <c r="B377" s="4" t="s">
        <v>723</v>
      </c>
      <c r="C377" s="5" t="str">
        <f t="shared" si="54"/>
        <v>29</v>
      </c>
      <c r="D377" s="5" t="str">
        <f t="shared" si="55"/>
        <v>05</v>
      </c>
      <c r="E377" s="4" t="s">
        <v>30</v>
      </c>
      <c r="F377" s="4" t="s">
        <v>31</v>
      </c>
      <c r="G377" s="8" t="str">
        <f t="shared" si="56"/>
        <v>29/05/2021</v>
      </c>
      <c r="H377" s="4" t="s">
        <v>1</v>
      </c>
      <c r="I377" s="4" t="s">
        <v>0</v>
      </c>
      <c r="J377" s="7" t="s">
        <v>818</v>
      </c>
      <c r="K377" s="7" t="s">
        <v>172</v>
      </c>
      <c r="L377" s="9" t="str">
        <f>+VLOOKUP(K377,'[1]BASE DE PROVEEDORES'!$A:$B,2,0)</f>
        <v>MANEJO INTEGRAL DE DESECHOS SOLIDOS SEM DE C.V.</v>
      </c>
      <c r="M377" s="10">
        <v>0</v>
      </c>
      <c r="N377" s="7" t="s">
        <v>2</v>
      </c>
      <c r="O377" s="7" t="s">
        <v>2</v>
      </c>
      <c r="P377" s="10">
        <v>50.82</v>
      </c>
      <c r="Q377" s="29" t="s">
        <v>2</v>
      </c>
      <c r="R377" s="32" t="s">
        <v>2</v>
      </c>
      <c r="S377" s="32" t="s">
        <v>2</v>
      </c>
      <c r="T377" s="29">
        <v>6.61</v>
      </c>
      <c r="U377" s="29">
        <f t="shared" si="57"/>
        <v>57.43</v>
      </c>
      <c r="V377" s="4" t="s">
        <v>3</v>
      </c>
      <c r="X377" s="3">
        <f t="shared" si="58"/>
        <v>6.61</v>
      </c>
    </row>
    <row r="378" spans="1:24" hidden="1" x14ac:dyDescent="0.25">
      <c r="A378" s="7" t="s">
        <v>651</v>
      </c>
      <c r="B378" s="4" t="s">
        <v>723</v>
      </c>
      <c r="C378" s="5" t="str">
        <f t="shared" si="54"/>
        <v>29</v>
      </c>
      <c r="D378" s="5" t="str">
        <f t="shared" si="55"/>
        <v>05</v>
      </c>
      <c r="E378" s="4" t="s">
        <v>30</v>
      </c>
      <c r="F378" s="4" t="s">
        <v>31</v>
      </c>
      <c r="G378" s="8" t="str">
        <f t="shared" si="56"/>
        <v>29/05/2021</v>
      </c>
      <c r="H378" s="4" t="s">
        <v>1</v>
      </c>
      <c r="I378" s="4" t="s">
        <v>0</v>
      </c>
      <c r="J378" s="7" t="s">
        <v>834</v>
      </c>
      <c r="K378" s="7" t="s">
        <v>172</v>
      </c>
      <c r="L378" s="9" t="str">
        <f>+VLOOKUP(K378,'[1]BASE DE PROVEEDORES'!$A:$B,2,0)</f>
        <v>MANEJO INTEGRAL DE DESECHOS SOLIDOS SEM DE C.V.</v>
      </c>
      <c r="M378" s="10">
        <v>0</v>
      </c>
      <c r="N378" s="7" t="s">
        <v>2</v>
      </c>
      <c r="O378" s="7" t="s">
        <v>2</v>
      </c>
      <c r="P378" s="10">
        <v>56.26</v>
      </c>
      <c r="Q378" s="29" t="s">
        <v>2</v>
      </c>
      <c r="R378" s="32" t="s">
        <v>2</v>
      </c>
      <c r="S378" s="32" t="s">
        <v>2</v>
      </c>
      <c r="T378" s="29">
        <v>7.31</v>
      </c>
      <c r="U378" s="29">
        <f t="shared" si="57"/>
        <v>63.57</v>
      </c>
      <c r="V378" s="4" t="s">
        <v>3</v>
      </c>
      <c r="X378" s="3">
        <f t="shared" si="58"/>
        <v>7.31</v>
      </c>
    </row>
    <row r="379" spans="1:24" hidden="1" x14ac:dyDescent="0.25">
      <c r="A379" s="7" t="s">
        <v>651</v>
      </c>
      <c r="B379" s="4" t="s">
        <v>723</v>
      </c>
      <c r="C379" s="5" t="str">
        <f t="shared" si="54"/>
        <v>29</v>
      </c>
      <c r="D379" s="5" t="str">
        <f t="shared" si="55"/>
        <v>05</v>
      </c>
      <c r="E379" s="4" t="s">
        <v>30</v>
      </c>
      <c r="F379" s="4" t="s">
        <v>31</v>
      </c>
      <c r="G379" s="8" t="str">
        <f t="shared" si="56"/>
        <v>29/05/2021</v>
      </c>
      <c r="H379" s="4" t="s">
        <v>1</v>
      </c>
      <c r="I379" s="4" t="s">
        <v>0</v>
      </c>
      <c r="J379" s="7" t="s">
        <v>841</v>
      </c>
      <c r="K379" s="7" t="s">
        <v>172</v>
      </c>
      <c r="L379" s="9" t="str">
        <f>+VLOOKUP(K379,'[1]BASE DE PROVEEDORES'!$A:$B,2,0)</f>
        <v>MANEJO INTEGRAL DE DESECHOS SOLIDOS SEM DE C.V.</v>
      </c>
      <c r="M379" s="10">
        <v>0</v>
      </c>
      <c r="N379" s="7" t="s">
        <v>2</v>
      </c>
      <c r="O379" s="7" t="s">
        <v>2</v>
      </c>
      <c r="P379" s="10">
        <v>56.26</v>
      </c>
      <c r="Q379" s="29" t="s">
        <v>2</v>
      </c>
      <c r="R379" s="32" t="s">
        <v>2</v>
      </c>
      <c r="S379" s="32" t="s">
        <v>2</v>
      </c>
      <c r="T379" s="29">
        <v>7.31</v>
      </c>
      <c r="U379" s="29">
        <f t="shared" si="57"/>
        <v>63.57</v>
      </c>
      <c r="V379" s="4" t="s">
        <v>3</v>
      </c>
      <c r="X379" s="3">
        <f t="shared" si="58"/>
        <v>7.31</v>
      </c>
    </row>
    <row r="380" spans="1:24" hidden="1" x14ac:dyDescent="0.25">
      <c r="A380" s="7" t="s">
        <v>651</v>
      </c>
      <c r="B380" s="4" t="s">
        <v>719</v>
      </c>
      <c r="C380" s="5" t="str">
        <f t="shared" si="54"/>
        <v>30</v>
      </c>
      <c r="D380" s="5" t="str">
        <f t="shared" si="55"/>
        <v>05</v>
      </c>
      <c r="E380" s="4" t="s">
        <v>30</v>
      </c>
      <c r="F380" s="4" t="s">
        <v>31</v>
      </c>
      <c r="G380" s="8" t="str">
        <f t="shared" si="56"/>
        <v>30/05/2021</v>
      </c>
      <c r="H380" s="4" t="s">
        <v>1</v>
      </c>
      <c r="I380" s="4" t="s">
        <v>0</v>
      </c>
      <c r="J380" s="7" t="s">
        <v>720</v>
      </c>
      <c r="K380" s="7" t="s">
        <v>45</v>
      </c>
      <c r="L380" s="9" t="str">
        <f>+VLOOKUP(K380,'[1]BASE DE PROVEEDORES'!$A:$B,2,0)</f>
        <v>JOSE RICARDO ANTONIO MOLINA</v>
      </c>
      <c r="M380" s="10">
        <f>8.25+4.13</f>
        <v>12.379999999999999</v>
      </c>
      <c r="N380" s="7" t="s">
        <v>2</v>
      </c>
      <c r="O380" s="7" t="s">
        <v>2</v>
      </c>
      <c r="P380" s="10">
        <v>99.67</v>
      </c>
      <c r="Q380" s="29" t="s">
        <v>2</v>
      </c>
      <c r="R380" s="32" t="s">
        <v>2</v>
      </c>
      <c r="S380" s="32" t="s">
        <v>2</v>
      </c>
      <c r="T380" s="29">
        <v>12.96</v>
      </c>
      <c r="U380" s="29">
        <f t="shared" si="57"/>
        <v>125.00999999999999</v>
      </c>
      <c r="V380" s="4" t="s">
        <v>3</v>
      </c>
      <c r="X380" s="3">
        <f t="shared" si="58"/>
        <v>12.96</v>
      </c>
    </row>
    <row r="381" spans="1:24" hidden="1" x14ac:dyDescent="0.25">
      <c r="A381" s="7" t="s">
        <v>651</v>
      </c>
      <c r="B381" s="4" t="s">
        <v>721</v>
      </c>
      <c r="C381" s="5" t="str">
        <f t="shared" si="54"/>
        <v>31</v>
      </c>
      <c r="D381" s="5" t="str">
        <f t="shared" si="55"/>
        <v>05</v>
      </c>
      <c r="E381" s="4" t="s">
        <v>30</v>
      </c>
      <c r="F381" s="4" t="s">
        <v>31</v>
      </c>
      <c r="G381" s="8" t="str">
        <f t="shared" si="56"/>
        <v>31/05/2021</v>
      </c>
      <c r="H381" s="4" t="s">
        <v>1</v>
      </c>
      <c r="I381" s="4" t="s">
        <v>0</v>
      </c>
      <c r="J381" s="7" t="s">
        <v>722</v>
      </c>
      <c r="K381" s="7" t="s">
        <v>45</v>
      </c>
      <c r="L381" s="9" t="str">
        <f>+VLOOKUP(K381,'[1]BASE DE PROVEEDORES'!$A:$B,2,0)</f>
        <v>JOSE RICARDO ANTONIO MOLINA</v>
      </c>
      <c r="M381" s="10">
        <f>1.06+0.53</f>
        <v>1.59</v>
      </c>
      <c r="N381" s="7" t="s">
        <v>2</v>
      </c>
      <c r="O381" s="7" t="s">
        <v>2</v>
      </c>
      <c r="P381" s="10">
        <v>12.76</v>
      </c>
      <c r="Q381" s="29" t="s">
        <v>2</v>
      </c>
      <c r="R381" s="32" t="s">
        <v>2</v>
      </c>
      <c r="S381" s="32" t="s">
        <v>2</v>
      </c>
      <c r="T381" s="29">
        <v>1.66</v>
      </c>
      <c r="U381" s="29">
        <f t="shared" si="57"/>
        <v>16.009999999999998</v>
      </c>
      <c r="V381" s="4" t="s">
        <v>3</v>
      </c>
      <c r="X381" s="3">
        <f t="shared" si="58"/>
        <v>1.66</v>
      </c>
    </row>
    <row r="382" spans="1:24" hidden="1" x14ac:dyDescent="0.25">
      <c r="A382" s="7" t="s">
        <v>651</v>
      </c>
      <c r="B382" s="4" t="s">
        <v>721</v>
      </c>
      <c r="C382" s="5" t="str">
        <f t="shared" si="54"/>
        <v>31</v>
      </c>
      <c r="D382" s="5" t="str">
        <f t="shared" si="55"/>
        <v>05</v>
      </c>
      <c r="E382" s="4" t="s">
        <v>30</v>
      </c>
      <c r="F382" s="4" t="s">
        <v>31</v>
      </c>
      <c r="G382" s="8" t="str">
        <f t="shared" si="56"/>
        <v>31/05/2021</v>
      </c>
      <c r="H382" s="4" t="s">
        <v>1</v>
      </c>
      <c r="I382" s="4" t="s">
        <v>0</v>
      </c>
      <c r="J382" s="7" t="s">
        <v>806</v>
      </c>
      <c r="K382" s="7" t="s">
        <v>172</v>
      </c>
      <c r="L382" s="9" t="str">
        <f>+VLOOKUP(K382,'[1]BASE DE PROVEEDORES'!$A:$B,2,0)</f>
        <v>MANEJO INTEGRAL DE DESECHOS SOLIDOS SEM DE C.V.</v>
      </c>
      <c r="M382" s="10">
        <v>0</v>
      </c>
      <c r="N382" s="7" t="s">
        <v>2</v>
      </c>
      <c r="O382" s="7" t="s">
        <v>2</v>
      </c>
      <c r="P382" s="10">
        <v>56.26</v>
      </c>
      <c r="Q382" s="29" t="s">
        <v>2</v>
      </c>
      <c r="R382" s="32" t="s">
        <v>2</v>
      </c>
      <c r="S382" s="32" t="s">
        <v>2</v>
      </c>
      <c r="T382" s="29">
        <v>7.31</v>
      </c>
      <c r="U382" s="29">
        <f t="shared" si="57"/>
        <v>63.57</v>
      </c>
      <c r="V382" s="4" t="s">
        <v>3</v>
      </c>
      <c r="X382" s="3">
        <f t="shared" si="58"/>
        <v>7.31</v>
      </c>
    </row>
    <row r="383" spans="1:24" hidden="1" x14ac:dyDescent="0.25">
      <c r="A383" s="7" t="s">
        <v>651</v>
      </c>
      <c r="B383" s="4" t="s">
        <v>721</v>
      </c>
      <c r="C383" s="5" t="str">
        <f t="shared" si="54"/>
        <v>31</v>
      </c>
      <c r="D383" s="5" t="str">
        <f t="shared" si="55"/>
        <v>05</v>
      </c>
      <c r="E383" s="4" t="s">
        <v>30</v>
      </c>
      <c r="F383" s="4" t="s">
        <v>31</v>
      </c>
      <c r="G383" s="8" t="str">
        <f t="shared" si="56"/>
        <v>31/05/2021</v>
      </c>
      <c r="H383" s="4" t="s">
        <v>1</v>
      </c>
      <c r="I383" s="4" t="s">
        <v>0</v>
      </c>
      <c r="J383" s="7" t="s">
        <v>835</v>
      </c>
      <c r="K383" s="7" t="s">
        <v>172</v>
      </c>
      <c r="L383" s="9" t="str">
        <f>+VLOOKUP(K383,'[1]BASE DE PROVEEDORES'!$A:$B,2,0)</f>
        <v>MANEJO INTEGRAL DE DESECHOS SOLIDOS SEM DE C.V.</v>
      </c>
      <c r="M383" s="10">
        <v>0</v>
      </c>
      <c r="N383" s="7" t="s">
        <v>2</v>
      </c>
      <c r="O383" s="7" t="s">
        <v>2</v>
      </c>
      <c r="P383" s="10">
        <v>56.26</v>
      </c>
      <c r="Q383" s="29" t="s">
        <v>2</v>
      </c>
      <c r="R383" s="32" t="s">
        <v>2</v>
      </c>
      <c r="S383" s="32" t="s">
        <v>2</v>
      </c>
      <c r="T383" s="29">
        <v>7.31</v>
      </c>
      <c r="U383" s="29">
        <f t="shared" si="57"/>
        <v>63.57</v>
      </c>
      <c r="V383" s="4" t="s">
        <v>3</v>
      </c>
      <c r="X383" s="3">
        <f t="shared" si="58"/>
        <v>7.31</v>
      </c>
    </row>
    <row r="384" spans="1:24" hidden="1" x14ac:dyDescent="0.25">
      <c r="A384" s="7" t="s">
        <v>651</v>
      </c>
      <c r="B384" s="4" t="s">
        <v>721</v>
      </c>
      <c r="C384" s="5" t="str">
        <f t="shared" si="54"/>
        <v>31</v>
      </c>
      <c r="D384" s="5" t="str">
        <f t="shared" si="55"/>
        <v>05</v>
      </c>
      <c r="E384" s="4" t="s">
        <v>30</v>
      </c>
      <c r="F384" s="4" t="s">
        <v>31</v>
      </c>
      <c r="G384" s="8" t="str">
        <f t="shared" si="56"/>
        <v>31/05/2021</v>
      </c>
      <c r="H384" s="4" t="s">
        <v>1</v>
      </c>
      <c r="I384" s="4" t="s">
        <v>0</v>
      </c>
      <c r="J384" s="7" t="s">
        <v>837</v>
      </c>
      <c r="K384" s="7" t="s">
        <v>172</v>
      </c>
      <c r="L384" s="9" t="str">
        <f>+VLOOKUP(K384,'[1]BASE DE PROVEEDORES'!$A:$B,2,0)</f>
        <v>MANEJO INTEGRAL DE DESECHOS SOLIDOS SEM DE C.V.</v>
      </c>
      <c r="M384" s="10">
        <v>0</v>
      </c>
      <c r="N384" s="7" t="s">
        <v>2</v>
      </c>
      <c r="O384" s="7" t="s">
        <v>2</v>
      </c>
      <c r="P384" s="10">
        <v>28.08</v>
      </c>
      <c r="Q384" s="29" t="s">
        <v>2</v>
      </c>
      <c r="R384" s="32" t="s">
        <v>2</v>
      </c>
      <c r="S384" s="32" t="s">
        <v>2</v>
      </c>
      <c r="T384" s="29">
        <v>3.65</v>
      </c>
      <c r="U384" s="29">
        <f t="shared" si="57"/>
        <v>31.729999999999997</v>
      </c>
      <c r="V384" s="4" t="s">
        <v>3</v>
      </c>
      <c r="X384" s="3">
        <f t="shared" si="58"/>
        <v>3.65</v>
      </c>
    </row>
    <row r="385" spans="1:24" hidden="1" x14ac:dyDescent="0.25">
      <c r="A385" s="7" t="s">
        <v>843</v>
      </c>
      <c r="B385" s="4" t="s">
        <v>675</v>
      </c>
      <c r="C385" s="5" t="str">
        <f t="shared" ref="C385:C416" si="59">+LEFT(B385,2)</f>
        <v>04</v>
      </c>
      <c r="D385" s="5" t="str">
        <f t="shared" ref="D385:D416" si="60">+RIGHT(B385,2)</f>
        <v>05</v>
      </c>
      <c r="E385" s="4" t="s">
        <v>30</v>
      </c>
      <c r="F385" s="4" t="s">
        <v>31</v>
      </c>
      <c r="G385" s="8" t="str">
        <f t="shared" ref="G385:G416" si="61">+C385&amp;F385&amp;D385&amp;F385&amp;E385</f>
        <v>04/05/2021</v>
      </c>
      <c r="H385" s="4" t="s">
        <v>1</v>
      </c>
      <c r="I385" s="4" t="s">
        <v>0</v>
      </c>
      <c r="J385" s="7" t="s">
        <v>964</v>
      </c>
      <c r="K385" s="7" t="s">
        <v>575</v>
      </c>
      <c r="L385" s="9" t="str">
        <f>+VLOOKUP(K385,'[1]BASE DE PROVEEDORES'!$A:$B,2,0)</f>
        <v>TELEMOVIL EL SALVADOR S.A DE C.V.</v>
      </c>
      <c r="M385" s="10">
        <v>0</v>
      </c>
      <c r="N385" s="7" t="s">
        <v>2</v>
      </c>
      <c r="O385" s="7" t="s">
        <v>2</v>
      </c>
      <c r="P385" s="10">
        <v>36.68</v>
      </c>
      <c r="Q385" s="29" t="s">
        <v>2</v>
      </c>
      <c r="R385" s="32" t="s">
        <v>2</v>
      </c>
      <c r="S385" s="32" t="s">
        <v>2</v>
      </c>
      <c r="T385" s="29">
        <f t="shared" ref="T385:T416" si="62">+P385*0.13</f>
        <v>4.7683999999999997</v>
      </c>
      <c r="U385" s="28">
        <f t="shared" ref="U385:U416" si="63">+M385+P385+T385</f>
        <v>41.448399999999999</v>
      </c>
      <c r="V385" s="4" t="s">
        <v>3</v>
      </c>
      <c r="X385" s="3">
        <f t="shared" ref="X385:X410" si="64">+ROUND(T385,2)</f>
        <v>4.7699999999999996</v>
      </c>
    </row>
    <row r="386" spans="1:24" hidden="1" x14ac:dyDescent="0.25">
      <c r="A386" s="7" t="s">
        <v>843</v>
      </c>
      <c r="B386" s="4" t="s">
        <v>655</v>
      </c>
      <c r="C386" s="5" t="str">
        <f t="shared" si="59"/>
        <v>06</v>
      </c>
      <c r="D386" s="5" t="str">
        <f t="shared" si="60"/>
        <v>05</v>
      </c>
      <c r="E386" s="4" t="s">
        <v>30</v>
      </c>
      <c r="F386" s="4" t="s">
        <v>31</v>
      </c>
      <c r="G386" s="8" t="str">
        <f t="shared" si="61"/>
        <v>06/05/2021</v>
      </c>
      <c r="H386" s="4" t="s">
        <v>1</v>
      </c>
      <c r="I386" s="4" t="s">
        <v>0</v>
      </c>
      <c r="J386" s="7" t="s">
        <v>932</v>
      </c>
      <c r="K386" s="7" t="s">
        <v>112</v>
      </c>
      <c r="L386" s="9" t="str">
        <f>+VLOOKUP(K386,'[1]BASE DE PROVEEDORES'!$A:$B,2,0)</f>
        <v>ALPINA S.A DE C.V.</v>
      </c>
      <c r="M386" s="10">
        <v>0</v>
      </c>
      <c r="N386" s="7" t="s">
        <v>2</v>
      </c>
      <c r="O386" s="7" t="s">
        <v>2</v>
      </c>
      <c r="P386" s="10">
        <v>21.89</v>
      </c>
      <c r="Q386" s="29" t="s">
        <v>2</v>
      </c>
      <c r="R386" s="32" t="s">
        <v>2</v>
      </c>
      <c r="S386" s="32" t="s">
        <v>2</v>
      </c>
      <c r="T386" s="29">
        <f t="shared" si="62"/>
        <v>2.8457000000000003</v>
      </c>
      <c r="U386" s="28">
        <f t="shared" si="63"/>
        <v>24.735700000000001</v>
      </c>
      <c r="V386" s="4" t="s">
        <v>3</v>
      </c>
      <c r="X386" s="3">
        <f t="shared" si="64"/>
        <v>2.85</v>
      </c>
    </row>
    <row r="387" spans="1:24" hidden="1" x14ac:dyDescent="0.25">
      <c r="A387" s="7" t="s">
        <v>843</v>
      </c>
      <c r="B387" s="4" t="s">
        <v>679</v>
      </c>
      <c r="C387" s="5" t="str">
        <f t="shared" si="59"/>
        <v>08</v>
      </c>
      <c r="D387" s="5" t="str">
        <f t="shared" si="60"/>
        <v>05</v>
      </c>
      <c r="E387" s="4" t="s">
        <v>30</v>
      </c>
      <c r="F387" s="4" t="s">
        <v>31</v>
      </c>
      <c r="G387" s="8" t="str">
        <f t="shared" si="61"/>
        <v>08/05/2021</v>
      </c>
      <c r="H387" s="4" t="s">
        <v>1</v>
      </c>
      <c r="I387" s="4" t="s">
        <v>0</v>
      </c>
      <c r="J387" s="7" t="s">
        <v>934</v>
      </c>
      <c r="K387" s="7" t="s">
        <v>112</v>
      </c>
      <c r="L387" s="9" t="str">
        <f>+VLOOKUP(K387,'[1]BASE DE PROVEEDORES'!$A:$B,2,0)</f>
        <v>ALPINA S.A DE C.V.</v>
      </c>
      <c r="M387" s="10">
        <v>0</v>
      </c>
      <c r="N387" s="7" t="s">
        <v>2</v>
      </c>
      <c r="O387" s="7" t="s">
        <v>2</v>
      </c>
      <c r="P387" s="10">
        <v>17.510000000000002</v>
      </c>
      <c r="Q387" s="29" t="s">
        <v>2</v>
      </c>
      <c r="R387" s="32" t="s">
        <v>2</v>
      </c>
      <c r="S387" s="32" t="s">
        <v>2</v>
      </c>
      <c r="T387" s="29">
        <f t="shared" si="62"/>
        <v>2.2763000000000004</v>
      </c>
      <c r="U387" s="28">
        <f t="shared" si="63"/>
        <v>19.786300000000001</v>
      </c>
      <c r="V387" s="4" t="s">
        <v>3</v>
      </c>
      <c r="X387" s="3">
        <f t="shared" si="64"/>
        <v>2.2799999999999998</v>
      </c>
    </row>
    <row r="388" spans="1:24" hidden="1" x14ac:dyDescent="0.25">
      <c r="A388" s="7" t="s">
        <v>843</v>
      </c>
      <c r="B388" s="4" t="s">
        <v>688</v>
      </c>
      <c r="C388" s="5" t="str">
        <f t="shared" si="59"/>
        <v>12</v>
      </c>
      <c r="D388" s="5" t="str">
        <f t="shared" si="60"/>
        <v>05</v>
      </c>
      <c r="E388" s="4" t="s">
        <v>30</v>
      </c>
      <c r="F388" s="4" t="s">
        <v>31</v>
      </c>
      <c r="G388" s="8" t="str">
        <f t="shared" si="61"/>
        <v>12/05/2021</v>
      </c>
      <c r="H388" s="4" t="s">
        <v>1</v>
      </c>
      <c r="I388" s="4" t="s">
        <v>0</v>
      </c>
      <c r="J388" s="7" t="s">
        <v>936</v>
      </c>
      <c r="K388" s="7" t="s">
        <v>161</v>
      </c>
      <c r="L388" s="9" t="str">
        <f>+VLOOKUP(K388,'[1]BASE DE PROVEEDORES'!$A:$B,2,0)</f>
        <v>UNILLANTAS S.A DE C.V.</v>
      </c>
      <c r="M388" s="10">
        <v>0</v>
      </c>
      <c r="N388" s="7" t="s">
        <v>2</v>
      </c>
      <c r="O388" s="7" t="s">
        <v>2</v>
      </c>
      <c r="P388" s="10">
        <v>163.72</v>
      </c>
      <c r="Q388" s="29" t="s">
        <v>2</v>
      </c>
      <c r="R388" s="32" t="s">
        <v>2</v>
      </c>
      <c r="S388" s="32" t="s">
        <v>2</v>
      </c>
      <c r="T388" s="29">
        <f t="shared" si="62"/>
        <v>21.2836</v>
      </c>
      <c r="U388" s="28">
        <f t="shared" si="63"/>
        <v>185.00360000000001</v>
      </c>
      <c r="V388" s="4" t="s">
        <v>3</v>
      </c>
      <c r="X388" s="3">
        <f t="shared" si="64"/>
        <v>21.28</v>
      </c>
    </row>
    <row r="389" spans="1:24" hidden="1" x14ac:dyDescent="0.25">
      <c r="A389" s="7" t="s">
        <v>843</v>
      </c>
      <c r="B389" s="4" t="s">
        <v>618</v>
      </c>
      <c r="C389" s="5" t="str">
        <f t="shared" si="59"/>
        <v>14</v>
      </c>
      <c r="D389" s="5" t="str">
        <f t="shared" si="60"/>
        <v>05</v>
      </c>
      <c r="E389" s="4" t="s">
        <v>30</v>
      </c>
      <c r="F389" s="4" t="s">
        <v>31</v>
      </c>
      <c r="G389" s="8" t="str">
        <f t="shared" si="61"/>
        <v>14/05/2021</v>
      </c>
      <c r="H389" s="4" t="s">
        <v>1</v>
      </c>
      <c r="I389" s="4" t="s">
        <v>0</v>
      </c>
      <c r="J389" s="7" t="s">
        <v>933</v>
      </c>
      <c r="K389" s="7" t="s">
        <v>112</v>
      </c>
      <c r="L389" s="9" t="str">
        <f>+VLOOKUP(K389,'[1]BASE DE PROVEEDORES'!$A:$B,2,0)</f>
        <v>ALPINA S.A DE C.V.</v>
      </c>
      <c r="M389" s="10">
        <v>0</v>
      </c>
      <c r="N389" s="7" t="s">
        <v>2</v>
      </c>
      <c r="O389" s="7" t="s">
        <v>2</v>
      </c>
      <c r="P389" s="10">
        <v>19.059999999999999</v>
      </c>
      <c r="Q389" s="29" t="s">
        <v>2</v>
      </c>
      <c r="R389" s="32" t="s">
        <v>2</v>
      </c>
      <c r="S389" s="32" t="s">
        <v>2</v>
      </c>
      <c r="T389" s="29">
        <f t="shared" si="62"/>
        <v>2.4777999999999998</v>
      </c>
      <c r="U389" s="28">
        <f t="shared" si="63"/>
        <v>21.537799999999997</v>
      </c>
      <c r="V389" s="4" t="s">
        <v>3</v>
      </c>
      <c r="X389" s="3">
        <f t="shared" si="64"/>
        <v>2.48</v>
      </c>
    </row>
    <row r="390" spans="1:24" hidden="1" x14ac:dyDescent="0.25">
      <c r="A390" s="7" t="s">
        <v>843</v>
      </c>
      <c r="B390" s="4" t="s">
        <v>658</v>
      </c>
      <c r="C390" s="5" t="str">
        <f t="shared" si="59"/>
        <v>19</v>
      </c>
      <c r="D390" s="5" t="str">
        <f t="shared" si="60"/>
        <v>05</v>
      </c>
      <c r="E390" s="4" t="s">
        <v>30</v>
      </c>
      <c r="F390" s="4" t="s">
        <v>31</v>
      </c>
      <c r="G390" s="8" t="str">
        <f t="shared" si="61"/>
        <v>19/05/2021</v>
      </c>
      <c r="H390" s="4" t="s">
        <v>1</v>
      </c>
      <c r="I390" s="4" t="s">
        <v>0</v>
      </c>
      <c r="J390" s="7" t="s">
        <v>952</v>
      </c>
      <c r="K390" s="7" t="s">
        <v>590</v>
      </c>
      <c r="L390" s="9" t="str">
        <f>+VLOOKUP(K390,'[1]BASE DE PROVEEDORES'!$A:$B,2,0)</f>
        <v>REPUESTOS Y SERVICIOS AUTOMOTRICES, S.A DE C.V.</v>
      </c>
      <c r="M390" s="10">
        <v>0</v>
      </c>
      <c r="N390" s="7" t="s">
        <v>2</v>
      </c>
      <c r="O390" s="7" t="s">
        <v>2</v>
      </c>
      <c r="P390" s="10">
        <v>32.35</v>
      </c>
      <c r="Q390" s="29" t="s">
        <v>2</v>
      </c>
      <c r="R390" s="32" t="s">
        <v>2</v>
      </c>
      <c r="S390" s="32" t="s">
        <v>2</v>
      </c>
      <c r="T390" s="29">
        <f t="shared" si="62"/>
        <v>4.2055000000000007</v>
      </c>
      <c r="U390" s="28">
        <f t="shared" si="63"/>
        <v>36.555500000000002</v>
      </c>
      <c r="V390" s="4" t="s">
        <v>3</v>
      </c>
      <c r="X390" s="3">
        <f t="shared" si="64"/>
        <v>4.21</v>
      </c>
    </row>
    <row r="391" spans="1:24" hidden="1" x14ac:dyDescent="0.25">
      <c r="A391" s="7" t="s">
        <v>843</v>
      </c>
      <c r="B391" s="4" t="s">
        <v>701</v>
      </c>
      <c r="C391" s="5" t="str">
        <f t="shared" si="59"/>
        <v>20</v>
      </c>
      <c r="D391" s="5" t="str">
        <f t="shared" si="60"/>
        <v>05</v>
      </c>
      <c r="E391" s="4" t="s">
        <v>30</v>
      </c>
      <c r="F391" s="4" t="s">
        <v>31</v>
      </c>
      <c r="G391" s="8" t="str">
        <f t="shared" si="61"/>
        <v>20/05/2021</v>
      </c>
      <c r="H391" s="4" t="s">
        <v>1</v>
      </c>
      <c r="I391" s="4" t="s">
        <v>0</v>
      </c>
      <c r="J391" s="7" t="s">
        <v>945</v>
      </c>
      <c r="K391" s="7" t="s">
        <v>149</v>
      </c>
      <c r="L391" s="9" t="str">
        <f>+VLOOKUP(K391,'[1]BASE DE PROVEEDORES'!$A:$B,2,0)</f>
        <v>TRANPORTES PESADOS S.A DE C.V.</v>
      </c>
      <c r="M391" s="10">
        <v>0</v>
      </c>
      <c r="N391" s="7" t="s">
        <v>2</v>
      </c>
      <c r="O391" s="7" t="s">
        <v>2</v>
      </c>
      <c r="P391" s="10">
        <v>35.35</v>
      </c>
      <c r="Q391" s="29" t="s">
        <v>2</v>
      </c>
      <c r="R391" s="32" t="s">
        <v>2</v>
      </c>
      <c r="S391" s="32" t="s">
        <v>2</v>
      </c>
      <c r="T391" s="29">
        <f t="shared" si="62"/>
        <v>4.5955000000000004</v>
      </c>
      <c r="U391" s="28">
        <f t="shared" si="63"/>
        <v>39.945500000000003</v>
      </c>
      <c r="V391" s="4" t="s">
        <v>3</v>
      </c>
      <c r="X391" s="3">
        <f t="shared" si="64"/>
        <v>4.5999999999999996</v>
      </c>
    </row>
    <row r="392" spans="1:24" hidden="1" x14ac:dyDescent="0.25">
      <c r="A392" s="7" t="s">
        <v>843</v>
      </c>
      <c r="B392" s="4" t="s">
        <v>659</v>
      </c>
      <c r="C392" s="5" t="str">
        <f t="shared" si="59"/>
        <v>21</v>
      </c>
      <c r="D392" s="5" t="str">
        <f t="shared" si="60"/>
        <v>05</v>
      </c>
      <c r="E392" s="4" t="s">
        <v>30</v>
      </c>
      <c r="F392" s="4" t="s">
        <v>31</v>
      </c>
      <c r="G392" s="8" t="str">
        <f t="shared" si="61"/>
        <v>21/05/2021</v>
      </c>
      <c r="H392" s="4" t="s">
        <v>1</v>
      </c>
      <c r="I392" s="4" t="s">
        <v>0</v>
      </c>
      <c r="J392" s="7" t="s">
        <v>937</v>
      </c>
      <c r="K392" s="7" t="s">
        <v>938</v>
      </c>
      <c r="L392" s="9" t="str">
        <f>+VLOOKUP(K392,'[1]BASE DE PROVEEDORES'!$A:$B,2,0)</f>
        <v>CASA RIVAS S.A DE C.V.</v>
      </c>
      <c r="M392" s="10">
        <v>0</v>
      </c>
      <c r="N392" s="7" t="s">
        <v>2</v>
      </c>
      <c r="O392" s="7" t="s">
        <v>2</v>
      </c>
      <c r="P392" s="10">
        <v>5.53</v>
      </c>
      <c r="Q392" s="29" t="s">
        <v>2</v>
      </c>
      <c r="R392" s="32" t="s">
        <v>2</v>
      </c>
      <c r="S392" s="32" t="s">
        <v>2</v>
      </c>
      <c r="T392" s="29">
        <f t="shared" si="62"/>
        <v>0.71890000000000009</v>
      </c>
      <c r="U392" s="28">
        <f t="shared" si="63"/>
        <v>6.2489000000000008</v>
      </c>
      <c r="V392" s="4" t="s">
        <v>3</v>
      </c>
      <c r="X392" s="3">
        <f t="shared" si="64"/>
        <v>0.72</v>
      </c>
    </row>
    <row r="393" spans="1:24" hidden="1" x14ac:dyDescent="0.25">
      <c r="A393" s="7" t="s">
        <v>843</v>
      </c>
      <c r="B393" s="4" t="s">
        <v>659</v>
      </c>
      <c r="C393" s="5" t="str">
        <f t="shared" si="59"/>
        <v>21</v>
      </c>
      <c r="D393" s="5" t="str">
        <f t="shared" si="60"/>
        <v>05</v>
      </c>
      <c r="E393" s="4" t="s">
        <v>30</v>
      </c>
      <c r="F393" s="4" t="s">
        <v>31</v>
      </c>
      <c r="G393" s="8" t="str">
        <f t="shared" si="61"/>
        <v>21/05/2021</v>
      </c>
      <c r="H393" s="4" t="s">
        <v>1</v>
      </c>
      <c r="I393" s="4" t="s">
        <v>0</v>
      </c>
      <c r="J393" s="7" t="s">
        <v>953</v>
      </c>
      <c r="K393" s="7" t="s">
        <v>20</v>
      </c>
      <c r="L393" s="9" t="str">
        <f>+VLOOKUP(K393,'[1]BASE DE PROVEEDORES'!$A:$B,2,0)</f>
        <v>ALMACENES VIDRI, S.A DE C.V.</v>
      </c>
      <c r="M393" s="10">
        <v>0</v>
      </c>
      <c r="N393" s="7" t="s">
        <v>2</v>
      </c>
      <c r="O393" s="7" t="s">
        <v>2</v>
      </c>
      <c r="P393" s="10">
        <v>70.8</v>
      </c>
      <c r="Q393" s="29" t="s">
        <v>2</v>
      </c>
      <c r="R393" s="32" t="s">
        <v>2</v>
      </c>
      <c r="S393" s="32" t="s">
        <v>2</v>
      </c>
      <c r="T393" s="29">
        <f t="shared" si="62"/>
        <v>9.2040000000000006</v>
      </c>
      <c r="U393" s="28">
        <f t="shared" si="63"/>
        <v>80.003999999999991</v>
      </c>
      <c r="V393" s="4" t="s">
        <v>3</v>
      </c>
      <c r="X393" s="3">
        <f t="shared" si="64"/>
        <v>9.1999999999999993</v>
      </c>
    </row>
    <row r="394" spans="1:24" hidden="1" x14ac:dyDescent="0.25">
      <c r="A394" s="7" t="s">
        <v>843</v>
      </c>
      <c r="B394" s="4" t="s">
        <v>659</v>
      </c>
      <c r="C394" s="5" t="str">
        <f t="shared" si="59"/>
        <v>21</v>
      </c>
      <c r="D394" s="5" t="str">
        <f t="shared" si="60"/>
        <v>05</v>
      </c>
      <c r="E394" s="4" t="s">
        <v>30</v>
      </c>
      <c r="F394" s="4" t="s">
        <v>31</v>
      </c>
      <c r="G394" s="8" t="str">
        <f t="shared" si="61"/>
        <v>21/05/2021</v>
      </c>
      <c r="H394" s="4" t="s">
        <v>1</v>
      </c>
      <c r="I394" s="4" t="s">
        <v>0</v>
      </c>
      <c r="J394" s="7" t="s">
        <v>954</v>
      </c>
      <c r="K394" s="7" t="s">
        <v>24</v>
      </c>
      <c r="L394" s="9" t="str">
        <f>+VLOOKUP(K394,'[1]BASE DE PROVEEDORES'!$A:$B,2,0)</f>
        <v>ECSA OPERADORA EL SALVADOR S.A DE C.V.</v>
      </c>
      <c r="M394" s="10">
        <v>2.72</v>
      </c>
      <c r="N394" s="7" t="s">
        <v>2</v>
      </c>
      <c r="O394" s="7" t="s">
        <v>2</v>
      </c>
      <c r="P394" s="10">
        <v>25.13</v>
      </c>
      <c r="Q394" s="29" t="s">
        <v>2</v>
      </c>
      <c r="R394" s="32" t="s">
        <v>2</v>
      </c>
      <c r="S394" s="32" t="s">
        <v>2</v>
      </c>
      <c r="T394" s="29">
        <f t="shared" si="62"/>
        <v>3.2669000000000001</v>
      </c>
      <c r="U394" s="28">
        <f t="shared" si="63"/>
        <v>31.116899999999998</v>
      </c>
      <c r="V394" s="4" t="s">
        <v>3</v>
      </c>
      <c r="X394" s="3">
        <f t="shared" si="64"/>
        <v>3.27</v>
      </c>
    </row>
    <row r="395" spans="1:24" hidden="1" x14ac:dyDescent="0.25">
      <c r="A395" s="7" t="s">
        <v>843</v>
      </c>
      <c r="B395" s="4" t="s">
        <v>659</v>
      </c>
      <c r="C395" s="5" t="str">
        <f t="shared" si="59"/>
        <v>21</v>
      </c>
      <c r="D395" s="5" t="str">
        <f t="shared" si="60"/>
        <v>05</v>
      </c>
      <c r="E395" s="4" t="s">
        <v>30</v>
      </c>
      <c r="F395" s="4" t="s">
        <v>31</v>
      </c>
      <c r="G395" s="8" t="str">
        <f t="shared" si="61"/>
        <v>21/05/2021</v>
      </c>
      <c r="H395" s="4" t="s">
        <v>1</v>
      </c>
      <c r="I395" s="4" t="s">
        <v>0</v>
      </c>
      <c r="J395" s="7" t="s">
        <v>958</v>
      </c>
      <c r="K395" s="7" t="s">
        <v>140</v>
      </c>
      <c r="L395" s="9" t="str">
        <f>+VLOOKUP(K395,'[1]BASE DE PROVEEDORES'!$A:$B,2,0)</f>
        <v>TALLERES SOLDATOR S.A DE C.V.</v>
      </c>
      <c r="M395" s="10">
        <v>0</v>
      </c>
      <c r="N395" s="7" t="s">
        <v>2</v>
      </c>
      <c r="O395" s="7" t="s">
        <v>2</v>
      </c>
      <c r="P395" s="10">
        <v>40</v>
      </c>
      <c r="Q395" s="29" t="s">
        <v>2</v>
      </c>
      <c r="R395" s="32" t="s">
        <v>2</v>
      </c>
      <c r="S395" s="32" t="s">
        <v>2</v>
      </c>
      <c r="T395" s="29">
        <f t="shared" si="62"/>
        <v>5.2</v>
      </c>
      <c r="U395" s="28">
        <f t="shared" si="63"/>
        <v>45.2</v>
      </c>
      <c r="V395" s="4" t="s">
        <v>3</v>
      </c>
      <c r="X395" s="3">
        <f t="shared" si="64"/>
        <v>5.2</v>
      </c>
    </row>
    <row r="396" spans="1:24" hidden="1" x14ac:dyDescent="0.25">
      <c r="A396" s="7" t="s">
        <v>843</v>
      </c>
      <c r="B396" s="4" t="s">
        <v>659</v>
      </c>
      <c r="C396" s="5" t="str">
        <f t="shared" si="59"/>
        <v>21</v>
      </c>
      <c r="D396" s="5" t="str">
        <f t="shared" si="60"/>
        <v>05</v>
      </c>
      <c r="E396" s="4" t="s">
        <v>30</v>
      </c>
      <c r="F396" s="4" t="s">
        <v>31</v>
      </c>
      <c r="G396" s="8" t="str">
        <f t="shared" si="61"/>
        <v>21/05/2021</v>
      </c>
      <c r="H396" s="4" t="s">
        <v>1</v>
      </c>
      <c r="I396" s="4" t="s">
        <v>0</v>
      </c>
      <c r="J396" s="7" t="s">
        <v>962</v>
      </c>
      <c r="K396" s="7" t="s">
        <v>963</v>
      </c>
      <c r="L396" s="9" t="str">
        <f>+VLOOKUP(K396,'[1]BASE DE PROVEEDORES'!$A:$B,2,0)</f>
        <v>CENTRO DE DIAGNOSTICO Y EMISIONES DE EL SALVADOR</v>
      </c>
      <c r="M396" s="10">
        <v>0</v>
      </c>
      <c r="N396" s="7" t="s">
        <v>2</v>
      </c>
      <c r="O396" s="7" t="s">
        <v>2</v>
      </c>
      <c r="P396" s="10">
        <v>15</v>
      </c>
      <c r="Q396" s="29" t="s">
        <v>2</v>
      </c>
      <c r="R396" s="32" t="s">
        <v>2</v>
      </c>
      <c r="S396" s="32" t="s">
        <v>2</v>
      </c>
      <c r="T396" s="29">
        <f t="shared" si="62"/>
        <v>1.9500000000000002</v>
      </c>
      <c r="U396" s="28">
        <f t="shared" si="63"/>
        <v>16.95</v>
      </c>
      <c r="V396" s="4" t="s">
        <v>3</v>
      </c>
      <c r="X396" s="3">
        <f t="shared" si="64"/>
        <v>1.95</v>
      </c>
    </row>
    <row r="397" spans="1:24" hidden="1" x14ac:dyDescent="0.25">
      <c r="A397" s="7" t="s">
        <v>843</v>
      </c>
      <c r="B397" s="4" t="s">
        <v>706</v>
      </c>
      <c r="C397" s="5" t="str">
        <f t="shared" si="59"/>
        <v>22</v>
      </c>
      <c r="D397" s="5" t="str">
        <f t="shared" si="60"/>
        <v>05</v>
      </c>
      <c r="E397" s="4" t="s">
        <v>30</v>
      </c>
      <c r="F397" s="4" t="s">
        <v>31</v>
      </c>
      <c r="G397" s="8" t="str">
        <f t="shared" si="61"/>
        <v>22/05/2021</v>
      </c>
      <c r="H397" s="4" t="s">
        <v>1</v>
      </c>
      <c r="I397" s="4" t="s">
        <v>0</v>
      </c>
      <c r="J397" s="7" t="s">
        <v>829</v>
      </c>
      <c r="K397" s="7" t="s">
        <v>567</v>
      </c>
      <c r="L397" s="9" t="str">
        <f>+VLOOKUP(K397,'[1]BASE DE PROVEEDORES'!$A:$B,2,0)</f>
        <v>DANIEL ALBETO RUBIO CARCAMO</v>
      </c>
      <c r="M397" s="10">
        <v>0</v>
      </c>
      <c r="N397" s="7" t="s">
        <v>2</v>
      </c>
      <c r="O397" s="7" t="s">
        <v>2</v>
      </c>
      <c r="P397" s="10">
        <v>4.42</v>
      </c>
      <c r="Q397" s="29" t="s">
        <v>2</v>
      </c>
      <c r="R397" s="32" t="s">
        <v>2</v>
      </c>
      <c r="S397" s="32" t="s">
        <v>2</v>
      </c>
      <c r="T397" s="29">
        <f t="shared" si="62"/>
        <v>0.5746</v>
      </c>
      <c r="U397" s="28">
        <f t="shared" si="63"/>
        <v>4.9946000000000002</v>
      </c>
      <c r="V397" s="4" t="s">
        <v>3</v>
      </c>
      <c r="X397" s="3">
        <f t="shared" si="64"/>
        <v>0.56999999999999995</v>
      </c>
    </row>
    <row r="398" spans="1:24" hidden="1" x14ac:dyDescent="0.25">
      <c r="A398" s="7" t="s">
        <v>843</v>
      </c>
      <c r="B398" s="4" t="s">
        <v>708</v>
      </c>
      <c r="C398" s="5" t="str">
        <f t="shared" si="59"/>
        <v>24</v>
      </c>
      <c r="D398" s="5" t="str">
        <f t="shared" si="60"/>
        <v>05</v>
      </c>
      <c r="E398" s="4" t="s">
        <v>30</v>
      </c>
      <c r="F398" s="4" t="s">
        <v>31</v>
      </c>
      <c r="G398" s="8" t="str">
        <f t="shared" si="61"/>
        <v>24/05/2021</v>
      </c>
      <c r="H398" s="4" t="s">
        <v>1</v>
      </c>
      <c r="I398" s="4" t="s">
        <v>0</v>
      </c>
      <c r="J398" s="7" t="s">
        <v>927</v>
      </c>
      <c r="K398" s="7" t="s">
        <v>556</v>
      </c>
      <c r="L398" s="9" t="str">
        <f>+VLOOKUP(K398,'[1]BASE DE PROVEEDORES'!$A:$B,2,0)</f>
        <v>REFILL S.A DE C.V.</v>
      </c>
      <c r="M398" s="10">
        <v>0</v>
      </c>
      <c r="N398" s="7" t="s">
        <v>2</v>
      </c>
      <c r="O398" s="7" t="s">
        <v>2</v>
      </c>
      <c r="P398" s="10">
        <v>4.42</v>
      </c>
      <c r="Q398" s="29" t="s">
        <v>2</v>
      </c>
      <c r="R398" s="32" t="s">
        <v>2</v>
      </c>
      <c r="S398" s="32" t="s">
        <v>2</v>
      </c>
      <c r="T398" s="29">
        <f t="shared" si="62"/>
        <v>0.5746</v>
      </c>
      <c r="U398" s="28">
        <f t="shared" si="63"/>
        <v>4.9946000000000002</v>
      </c>
      <c r="V398" s="4" t="s">
        <v>3</v>
      </c>
      <c r="X398" s="3">
        <f t="shared" si="64"/>
        <v>0.56999999999999995</v>
      </c>
    </row>
    <row r="399" spans="1:24" hidden="1" x14ac:dyDescent="0.25">
      <c r="A399" s="7" t="s">
        <v>843</v>
      </c>
      <c r="B399" s="4" t="s">
        <v>660</v>
      </c>
      <c r="C399" s="5" t="str">
        <f t="shared" si="59"/>
        <v>26</v>
      </c>
      <c r="D399" s="5" t="str">
        <f t="shared" si="60"/>
        <v>05</v>
      </c>
      <c r="E399" s="4" t="s">
        <v>30</v>
      </c>
      <c r="F399" s="4" t="s">
        <v>31</v>
      </c>
      <c r="G399" s="8" t="str">
        <f t="shared" si="61"/>
        <v>26/05/2021</v>
      </c>
      <c r="H399" s="4" t="s">
        <v>1</v>
      </c>
      <c r="I399" s="4" t="s">
        <v>0</v>
      </c>
      <c r="J399" s="7" t="s">
        <v>951</v>
      </c>
      <c r="K399" s="7" t="s">
        <v>151</v>
      </c>
      <c r="L399" s="9" t="str">
        <f>+VLOOKUP(K399,'[1]BASE DE PROVEEDORES'!$A:$B,2,0)</f>
        <v>REPUESTOS NOE S.A DE C.V.</v>
      </c>
      <c r="M399" s="10">
        <v>0</v>
      </c>
      <c r="N399" s="7" t="s">
        <v>2</v>
      </c>
      <c r="O399" s="7" t="s">
        <v>2</v>
      </c>
      <c r="P399" s="10">
        <v>78</v>
      </c>
      <c r="Q399" s="29" t="s">
        <v>2</v>
      </c>
      <c r="R399" s="32" t="s">
        <v>2</v>
      </c>
      <c r="S399" s="32" t="s">
        <v>2</v>
      </c>
      <c r="T399" s="29">
        <f t="shared" si="62"/>
        <v>10.14</v>
      </c>
      <c r="U399" s="28">
        <f t="shared" si="63"/>
        <v>88.14</v>
      </c>
      <c r="V399" s="4" t="s">
        <v>3</v>
      </c>
      <c r="X399" s="3">
        <f t="shared" si="64"/>
        <v>10.14</v>
      </c>
    </row>
    <row r="400" spans="1:24" hidden="1" x14ac:dyDescent="0.25">
      <c r="A400" s="7" t="s">
        <v>843</v>
      </c>
      <c r="B400" s="4" t="s">
        <v>716</v>
      </c>
      <c r="C400" s="5" t="str">
        <f t="shared" si="59"/>
        <v>28</v>
      </c>
      <c r="D400" s="5" t="str">
        <f t="shared" si="60"/>
        <v>05</v>
      </c>
      <c r="E400" s="4" t="s">
        <v>30</v>
      </c>
      <c r="F400" s="4" t="s">
        <v>31</v>
      </c>
      <c r="G400" s="8" t="str">
        <f t="shared" si="61"/>
        <v>28/05/2021</v>
      </c>
      <c r="H400" s="4" t="s">
        <v>1</v>
      </c>
      <c r="I400" s="4" t="s">
        <v>0</v>
      </c>
      <c r="J400" s="7" t="s">
        <v>955</v>
      </c>
      <c r="K400" s="7" t="s">
        <v>20</v>
      </c>
      <c r="L400" s="9" t="str">
        <f>+VLOOKUP(K400,'[1]BASE DE PROVEEDORES'!$A:$B,2,0)</f>
        <v>ALMACENES VIDRI, S.A DE C.V.</v>
      </c>
      <c r="M400" s="10">
        <v>0</v>
      </c>
      <c r="N400" s="7" t="s">
        <v>2</v>
      </c>
      <c r="O400" s="7" t="s">
        <v>2</v>
      </c>
      <c r="P400" s="10">
        <v>17.7</v>
      </c>
      <c r="Q400" s="29" t="s">
        <v>2</v>
      </c>
      <c r="R400" s="32" t="s">
        <v>2</v>
      </c>
      <c r="S400" s="32" t="s">
        <v>2</v>
      </c>
      <c r="T400" s="29">
        <f t="shared" si="62"/>
        <v>2.3010000000000002</v>
      </c>
      <c r="U400" s="28">
        <f t="shared" si="63"/>
        <v>20.000999999999998</v>
      </c>
      <c r="V400" s="4" t="s">
        <v>3</v>
      </c>
      <c r="X400" s="3">
        <f t="shared" si="64"/>
        <v>2.2999999999999998</v>
      </c>
    </row>
    <row r="401" spans="1:24" hidden="1" x14ac:dyDescent="0.25">
      <c r="A401" s="7" t="s">
        <v>843</v>
      </c>
      <c r="B401" s="4" t="s">
        <v>723</v>
      </c>
      <c r="C401" s="5" t="str">
        <f t="shared" si="59"/>
        <v>29</v>
      </c>
      <c r="D401" s="5" t="str">
        <f t="shared" si="60"/>
        <v>05</v>
      </c>
      <c r="E401" s="4" t="s">
        <v>30</v>
      </c>
      <c r="F401" s="4" t="s">
        <v>31</v>
      </c>
      <c r="G401" s="8" t="str">
        <f t="shared" si="61"/>
        <v>29/05/2021</v>
      </c>
      <c r="H401" s="4" t="s">
        <v>1</v>
      </c>
      <c r="I401" s="4" t="s">
        <v>0</v>
      </c>
      <c r="J401" s="7" t="s">
        <v>939</v>
      </c>
      <c r="K401" s="7" t="s">
        <v>20</v>
      </c>
      <c r="L401" s="9" t="str">
        <f>+VLOOKUP(K401,'[1]BASE DE PROVEEDORES'!$A:$B,2,0)</f>
        <v>ALMACENES VIDRI, S.A DE C.V.</v>
      </c>
      <c r="M401" s="10">
        <v>0</v>
      </c>
      <c r="N401" s="7" t="s">
        <v>2</v>
      </c>
      <c r="O401" s="7" t="s">
        <v>2</v>
      </c>
      <c r="P401" s="10">
        <v>17.670000000000002</v>
      </c>
      <c r="Q401" s="29" t="s">
        <v>2</v>
      </c>
      <c r="R401" s="32" t="s">
        <v>2</v>
      </c>
      <c r="S401" s="32" t="s">
        <v>2</v>
      </c>
      <c r="T401" s="29">
        <f t="shared" si="62"/>
        <v>2.2971000000000004</v>
      </c>
      <c r="U401" s="28">
        <f t="shared" si="63"/>
        <v>19.967100000000002</v>
      </c>
      <c r="V401" s="4" t="s">
        <v>3</v>
      </c>
      <c r="X401" s="3">
        <f t="shared" si="64"/>
        <v>2.2999999999999998</v>
      </c>
    </row>
    <row r="402" spans="1:24" hidden="1" x14ac:dyDescent="0.25">
      <c r="A402" s="7" t="s">
        <v>843</v>
      </c>
      <c r="B402" s="4" t="s">
        <v>723</v>
      </c>
      <c r="C402" s="5" t="str">
        <f t="shared" si="59"/>
        <v>29</v>
      </c>
      <c r="D402" s="5" t="str">
        <f t="shared" si="60"/>
        <v>05</v>
      </c>
      <c r="E402" s="4" t="s">
        <v>30</v>
      </c>
      <c r="F402" s="4" t="s">
        <v>31</v>
      </c>
      <c r="G402" s="8" t="str">
        <f t="shared" si="61"/>
        <v>29/05/2021</v>
      </c>
      <c r="H402" s="4" t="s">
        <v>1</v>
      </c>
      <c r="I402" s="4" t="s">
        <v>0</v>
      </c>
      <c r="J402" s="7" t="s">
        <v>950</v>
      </c>
      <c r="K402" s="7" t="s">
        <v>151</v>
      </c>
      <c r="L402" s="9" t="str">
        <f>+VLOOKUP(K402,'[1]BASE DE PROVEEDORES'!$A:$B,2,0)</f>
        <v>REPUESTOS NOE S.A DE C.V.</v>
      </c>
      <c r="M402" s="10">
        <v>0</v>
      </c>
      <c r="N402" s="7" t="s">
        <v>2</v>
      </c>
      <c r="O402" s="7" t="s">
        <v>2</v>
      </c>
      <c r="P402" s="10">
        <v>43.4</v>
      </c>
      <c r="Q402" s="29" t="s">
        <v>2</v>
      </c>
      <c r="R402" s="32" t="s">
        <v>2</v>
      </c>
      <c r="S402" s="32" t="s">
        <v>2</v>
      </c>
      <c r="T402" s="29">
        <f t="shared" si="62"/>
        <v>5.6420000000000003</v>
      </c>
      <c r="U402" s="28">
        <f t="shared" si="63"/>
        <v>49.042000000000002</v>
      </c>
      <c r="V402" s="4" t="s">
        <v>3</v>
      </c>
      <c r="X402" s="3">
        <f t="shared" si="64"/>
        <v>5.64</v>
      </c>
    </row>
    <row r="403" spans="1:24" hidden="1" x14ac:dyDescent="0.25">
      <c r="A403" s="7" t="s">
        <v>843</v>
      </c>
      <c r="B403" s="4" t="s">
        <v>721</v>
      </c>
      <c r="C403" s="5" t="str">
        <f t="shared" si="59"/>
        <v>31</v>
      </c>
      <c r="D403" s="5" t="str">
        <f t="shared" si="60"/>
        <v>05</v>
      </c>
      <c r="E403" s="4" t="s">
        <v>30</v>
      </c>
      <c r="F403" s="4" t="s">
        <v>31</v>
      </c>
      <c r="G403" s="8" t="str">
        <f t="shared" si="61"/>
        <v>31/05/2021</v>
      </c>
      <c r="H403" s="4" t="s">
        <v>1</v>
      </c>
      <c r="I403" s="4" t="s">
        <v>0</v>
      </c>
      <c r="J403" s="7" t="s">
        <v>926</v>
      </c>
      <c r="K403" s="7" t="s">
        <v>117</v>
      </c>
      <c r="L403" s="9" t="str">
        <f>+VLOOKUP(K403,'[1]BASE DE PROVEEDORES'!$A:$B,2,0)</f>
        <v>PULSEM DE C.V.</v>
      </c>
      <c r="M403" s="10">
        <v>0</v>
      </c>
      <c r="N403" s="7" t="s">
        <v>2</v>
      </c>
      <c r="O403" s="7" t="s">
        <v>2</v>
      </c>
      <c r="P403" s="10">
        <v>1353.2</v>
      </c>
      <c r="Q403" s="29" t="s">
        <v>2</v>
      </c>
      <c r="R403" s="32" t="s">
        <v>2</v>
      </c>
      <c r="S403" s="32" t="s">
        <v>2</v>
      </c>
      <c r="T403" s="29">
        <f t="shared" si="62"/>
        <v>175.91600000000003</v>
      </c>
      <c r="U403" s="28">
        <f t="shared" si="63"/>
        <v>1529.116</v>
      </c>
      <c r="V403" s="4" t="s">
        <v>3</v>
      </c>
      <c r="X403" s="3">
        <f t="shared" si="64"/>
        <v>175.92</v>
      </c>
    </row>
    <row r="404" spans="1:24" hidden="1" x14ac:dyDescent="0.25">
      <c r="A404" s="7" t="s">
        <v>843</v>
      </c>
      <c r="B404" s="4" t="s">
        <v>721</v>
      </c>
      <c r="C404" s="5" t="str">
        <f t="shared" si="59"/>
        <v>31</v>
      </c>
      <c r="D404" s="5" t="str">
        <f t="shared" si="60"/>
        <v>05</v>
      </c>
      <c r="E404" s="4" t="s">
        <v>30</v>
      </c>
      <c r="F404" s="4" t="s">
        <v>31</v>
      </c>
      <c r="G404" s="8" t="str">
        <f t="shared" si="61"/>
        <v>31/05/2021</v>
      </c>
      <c r="H404" s="4" t="s">
        <v>1</v>
      </c>
      <c r="I404" s="4" t="s">
        <v>0</v>
      </c>
      <c r="J404" s="7" t="s">
        <v>940</v>
      </c>
      <c r="K404" s="7" t="s">
        <v>20</v>
      </c>
      <c r="L404" s="9" t="str">
        <f>+VLOOKUP(K404,'[1]BASE DE PROVEEDORES'!$A:$B,2,0)</f>
        <v>ALMACENES VIDRI, S.A DE C.V.</v>
      </c>
      <c r="M404" s="10">
        <v>0</v>
      </c>
      <c r="N404" s="7" t="s">
        <v>2</v>
      </c>
      <c r="O404" s="7" t="s">
        <v>2</v>
      </c>
      <c r="P404" s="10">
        <v>3.98</v>
      </c>
      <c r="Q404" s="29" t="s">
        <v>2</v>
      </c>
      <c r="R404" s="32" t="s">
        <v>2</v>
      </c>
      <c r="S404" s="32" t="s">
        <v>2</v>
      </c>
      <c r="T404" s="29">
        <f t="shared" si="62"/>
        <v>0.51739999999999997</v>
      </c>
      <c r="U404" s="28">
        <f t="shared" si="63"/>
        <v>4.4973999999999998</v>
      </c>
      <c r="V404" s="4" t="s">
        <v>3</v>
      </c>
      <c r="X404" s="3">
        <f t="shared" si="64"/>
        <v>0.52</v>
      </c>
    </row>
    <row r="405" spans="1:24" hidden="1" x14ac:dyDescent="0.25">
      <c r="A405" s="7" t="s">
        <v>843</v>
      </c>
      <c r="B405" s="4" t="s">
        <v>848</v>
      </c>
      <c r="C405" s="5" t="str">
        <f t="shared" si="59"/>
        <v>01</v>
      </c>
      <c r="D405" s="5" t="str">
        <f t="shared" si="60"/>
        <v>06</v>
      </c>
      <c r="E405" s="4" t="s">
        <v>30</v>
      </c>
      <c r="F405" s="4" t="s">
        <v>31</v>
      </c>
      <c r="G405" s="8" t="str">
        <f t="shared" si="61"/>
        <v>01/06/2021</v>
      </c>
      <c r="H405" s="4" t="s">
        <v>1</v>
      </c>
      <c r="I405" s="4" t="s">
        <v>0</v>
      </c>
      <c r="J405" s="7" t="s">
        <v>849</v>
      </c>
      <c r="K405" s="7" t="s">
        <v>45</v>
      </c>
      <c r="L405" s="9" t="str">
        <f>+VLOOKUP(K405,'[1]BASE DE PROVEEDORES'!$A:$B,2,0)</f>
        <v>JOSE RICARDO ANTONIO MOLINA</v>
      </c>
      <c r="M405" s="10">
        <f>8.06+4.03</f>
        <v>12.09</v>
      </c>
      <c r="N405" s="7" t="s">
        <v>2</v>
      </c>
      <c r="O405" s="7" t="s">
        <v>2</v>
      </c>
      <c r="P405" s="10">
        <v>99.91</v>
      </c>
      <c r="Q405" s="29" t="s">
        <v>2</v>
      </c>
      <c r="R405" s="32" t="s">
        <v>2</v>
      </c>
      <c r="S405" s="32" t="s">
        <v>2</v>
      </c>
      <c r="T405" s="29">
        <f t="shared" si="62"/>
        <v>12.988300000000001</v>
      </c>
      <c r="U405" s="28">
        <f t="shared" si="63"/>
        <v>124.9883</v>
      </c>
      <c r="V405" s="4" t="s">
        <v>3</v>
      </c>
      <c r="X405" s="3">
        <f t="shared" si="64"/>
        <v>12.99</v>
      </c>
    </row>
    <row r="406" spans="1:24" hidden="1" x14ac:dyDescent="0.25">
      <c r="A406" s="7" t="s">
        <v>843</v>
      </c>
      <c r="B406" s="4" t="s">
        <v>848</v>
      </c>
      <c r="C406" s="5" t="str">
        <f t="shared" si="59"/>
        <v>01</v>
      </c>
      <c r="D406" s="5" t="str">
        <f t="shared" si="60"/>
        <v>06</v>
      </c>
      <c r="E406" s="4" t="s">
        <v>30</v>
      </c>
      <c r="F406" s="4" t="s">
        <v>31</v>
      </c>
      <c r="G406" s="8" t="str">
        <f t="shared" si="61"/>
        <v>01/06/2021</v>
      </c>
      <c r="H406" s="4" t="s">
        <v>1</v>
      </c>
      <c r="I406" s="4" t="s">
        <v>0</v>
      </c>
      <c r="J406" s="7" t="s">
        <v>850</v>
      </c>
      <c r="K406" s="7" t="s">
        <v>45</v>
      </c>
      <c r="L406" s="9" t="str">
        <f>+VLOOKUP(K406,'[1]BASE DE PROVEEDORES'!$A:$B,2,0)</f>
        <v>JOSE RICARDO ANTONIO MOLINA</v>
      </c>
      <c r="M406" s="10">
        <f>6.94+3.47</f>
        <v>10.41</v>
      </c>
      <c r="N406" s="7" t="s">
        <v>2</v>
      </c>
      <c r="O406" s="7" t="s">
        <v>2</v>
      </c>
      <c r="P406" s="10">
        <v>85.98</v>
      </c>
      <c r="Q406" s="29" t="s">
        <v>2</v>
      </c>
      <c r="R406" s="32" t="s">
        <v>2</v>
      </c>
      <c r="S406" s="32" t="s">
        <v>2</v>
      </c>
      <c r="T406" s="29">
        <f t="shared" si="62"/>
        <v>11.1774</v>
      </c>
      <c r="U406" s="28">
        <f t="shared" si="63"/>
        <v>107.56740000000001</v>
      </c>
      <c r="V406" s="4" t="s">
        <v>3</v>
      </c>
      <c r="X406" s="3">
        <f t="shared" si="64"/>
        <v>11.18</v>
      </c>
    </row>
    <row r="407" spans="1:24" hidden="1" x14ac:dyDescent="0.25">
      <c r="A407" s="7" t="s">
        <v>843</v>
      </c>
      <c r="B407" s="4" t="s">
        <v>848</v>
      </c>
      <c r="C407" s="5" t="str">
        <f t="shared" si="59"/>
        <v>01</v>
      </c>
      <c r="D407" s="5" t="str">
        <f t="shared" si="60"/>
        <v>06</v>
      </c>
      <c r="E407" s="4" t="s">
        <v>30</v>
      </c>
      <c r="F407" s="4" t="s">
        <v>31</v>
      </c>
      <c r="G407" s="8" t="str">
        <f t="shared" si="61"/>
        <v>01/06/2021</v>
      </c>
      <c r="H407" s="4" t="s">
        <v>1</v>
      </c>
      <c r="I407" s="4" t="s">
        <v>0</v>
      </c>
      <c r="J407" s="7" t="s">
        <v>924</v>
      </c>
      <c r="K407" s="7" t="s">
        <v>28</v>
      </c>
      <c r="L407" s="9" t="str">
        <f>+VLOOKUP(K407,'[1]BASE DE PROVEEDORES'!$A:$B,2,0)</f>
        <v xml:space="preserve">ACTIVIDADES PETROLERAS DE EL SALVADOR S.A DE C.V </v>
      </c>
      <c r="M407" s="10">
        <f>1.61+0.81</f>
        <v>2.42</v>
      </c>
      <c r="N407" s="7" t="s">
        <v>2</v>
      </c>
      <c r="O407" s="7" t="s">
        <v>2</v>
      </c>
      <c r="P407" s="10">
        <v>19.98</v>
      </c>
      <c r="Q407" s="29" t="s">
        <v>2</v>
      </c>
      <c r="R407" s="32" t="s">
        <v>2</v>
      </c>
      <c r="S407" s="32" t="s">
        <v>2</v>
      </c>
      <c r="T407" s="29">
        <f t="shared" si="62"/>
        <v>2.5973999999999999</v>
      </c>
      <c r="U407" s="28">
        <f t="shared" si="63"/>
        <v>24.997399999999999</v>
      </c>
      <c r="V407" s="4" t="s">
        <v>3</v>
      </c>
      <c r="X407" s="3">
        <f t="shared" si="64"/>
        <v>2.6</v>
      </c>
    </row>
    <row r="408" spans="1:24" hidden="1" x14ac:dyDescent="0.25">
      <c r="A408" s="7" t="s">
        <v>843</v>
      </c>
      <c r="B408" s="4" t="s">
        <v>848</v>
      </c>
      <c r="C408" s="5" t="str">
        <f t="shared" si="59"/>
        <v>01</v>
      </c>
      <c r="D408" s="5" t="str">
        <f t="shared" si="60"/>
        <v>06</v>
      </c>
      <c r="E408" s="4" t="s">
        <v>30</v>
      </c>
      <c r="F408" s="4" t="s">
        <v>31</v>
      </c>
      <c r="G408" s="8" t="str">
        <f t="shared" si="61"/>
        <v>01/06/2021</v>
      </c>
      <c r="H408" s="4" t="s">
        <v>1</v>
      </c>
      <c r="I408" s="4" t="s">
        <v>0</v>
      </c>
      <c r="J408" s="7" t="s">
        <v>928</v>
      </c>
      <c r="K408" s="7" t="s">
        <v>143</v>
      </c>
      <c r="L408" s="9" t="str">
        <f>+VLOOKUP(K408,'[1]BASE DE PROVEEDORES'!$A:$B,2,0)</f>
        <v>BENJAMIN ALFREDO ABARCA</v>
      </c>
      <c r="M408" s="10">
        <v>0</v>
      </c>
      <c r="N408" s="7" t="s">
        <v>2</v>
      </c>
      <c r="O408" s="7" t="s">
        <v>2</v>
      </c>
      <c r="P408" s="10">
        <v>130</v>
      </c>
      <c r="Q408" s="29" t="s">
        <v>2</v>
      </c>
      <c r="R408" s="32" t="s">
        <v>2</v>
      </c>
      <c r="S408" s="32" t="s">
        <v>2</v>
      </c>
      <c r="T408" s="29">
        <f t="shared" si="62"/>
        <v>16.900000000000002</v>
      </c>
      <c r="U408" s="28">
        <f t="shared" si="63"/>
        <v>146.9</v>
      </c>
      <c r="V408" s="4" t="s">
        <v>3</v>
      </c>
      <c r="X408" s="3">
        <f t="shared" si="64"/>
        <v>16.899999999999999</v>
      </c>
    </row>
    <row r="409" spans="1:24" hidden="1" x14ac:dyDescent="0.25">
      <c r="A409" s="7" t="s">
        <v>843</v>
      </c>
      <c r="B409" s="4" t="s">
        <v>848</v>
      </c>
      <c r="C409" s="5" t="str">
        <f t="shared" si="59"/>
        <v>01</v>
      </c>
      <c r="D409" s="5" t="str">
        <f t="shared" si="60"/>
        <v>06</v>
      </c>
      <c r="E409" s="4" t="s">
        <v>30</v>
      </c>
      <c r="F409" s="4" t="s">
        <v>31</v>
      </c>
      <c r="G409" s="8" t="str">
        <f t="shared" si="61"/>
        <v>01/06/2021</v>
      </c>
      <c r="H409" s="4" t="s">
        <v>1</v>
      </c>
      <c r="I409" s="4" t="s">
        <v>0</v>
      </c>
      <c r="J409" s="7" t="s">
        <v>559</v>
      </c>
      <c r="K409" s="7" t="s">
        <v>172</v>
      </c>
      <c r="L409" s="9" t="str">
        <f>+VLOOKUP(K409,'[1]BASE DE PROVEEDORES'!$A:$B,2,0)</f>
        <v>MANEJO INTEGRAL DE DESECHOS SOLIDOS SEM DE C.V.</v>
      </c>
      <c r="M409" s="10">
        <v>0</v>
      </c>
      <c r="N409" s="7" t="s">
        <v>2</v>
      </c>
      <c r="O409" s="7" t="s">
        <v>2</v>
      </c>
      <c r="P409" s="10">
        <v>47.17</v>
      </c>
      <c r="Q409" s="29" t="s">
        <v>2</v>
      </c>
      <c r="R409" s="32" t="s">
        <v>2</v>
      </c>
      <c r="S409" s="32" t="s">
        <v>2</v>
      </c>
      <c r="T409" s="29">
        <f t="shared" si="62"/>
        <v>6.1321000000000003</v>
      </c>
      <c r="U409" s="28">
        <f t="shared" si="63"/>
        <v>53.302100000000003</v>
      </c>
      <c r="V409" s="4" t="s">
        <v>3</v>
      </c>
      <c r="X409" s="3">
        <f t="shared" si="64"/>
        <v>6.13</v>
      </c>
    </row>
    <row r="410" spans="1:24" hidden="1" x14ac:dyDescent="0.25">
      <c r="A410" s="7" t="s">
        <v>843</v>
      </c>
      <c r="B410" s="4" t="s">
        <v>848</v>
      </c>
      <c r="C410" s="5" t="str">
        <f t="shared" si="59"/>
        <v>01</v>
      </c>
      <c r="D410" s="5" t="str">
        <f t="shared" si="60"/>
        <v>06</v>
      </c>
      <c r="E410" s="4" t="s">
        <v>30</v>
      </c>
      <c r="F410" s="4" t="s">
        <v>31</v>
      </c>
      <c r="G410" s="8" t="str">
        <f t="shared" si="61"/>
        <v>01/06/2021</v>
      </c>
      <c r="H410" s="4" t="s">
        <v>1</v>
      </c>
      <c r="I410" s="4" t="s">
        <v>0</v>
      </c>
      <c r="J410" s="7" t="s">
        <v>972</v>
      </c>
      <c r="K410" s="7" t="s">
        <v>172</v>
      </c>
      <c r="L410" s="9" t="str">
        <f>+VLOOKUP(K410,'[1]BASE DE PROVEEDORES'!$A:$B,2,0)</f>
        <v>MANEJO INTEGRAL DE DESECHOS SOLIDOS SEM DE C.V.</v>
      </c>
      <c r="M410" s="10">
        <v>0</v>
      </c>
      <c r="N410" s="7" t="s">
        <v>2</v>
      </c>
      <c r="O410" s="7" t="s">
        <v>2</v>
      </c>
      <c r="P410" s="10">
        <v>73</v>
      </c>
      <c r="Q410" s="29" t="s">
        <v>2</v>
      </c>
      <c r="R410" s="32" t="s">
        <v>2</v>
      </c>
      <c r="S410" s="32" t="s">
        <v>2</v>
      </c>
      <c r="T410" s="29">
        <f t="shared" si="62"/>
        <v>9.49</v>
      </c>
      <c r="U410" s="28">
        <f t="shared" si="63"/>
        <v>82.49</v>
      </c>
      <c r="V410" s="4" t="s">
        <v>3</v>
      </c>
      <c r="X410" s="3">
        <f t="shared" si="64"/>
        <v>9.49</v>
      </c>
    </row>
    <row r="411" spans="1:24" hidden="1" x14ac:dyDescent="0.25">
      <c r="A411" s="7" t="s">
        <v>843</v>
      </c>
      <c r="B411" s="4" t="s">
        <v>848</v>
      </c>
      <c r="C411" s="5" t="str">
        <f t="shared" si="59"/>
        <v>01</v>
      </c>
      <c r="D411" s="5" t="str">
        <f t="shared" si="60"/>
        <v>06</v>
      </c>
      <c r="E411" s="4" t="s">
        <v>30</v>
      </c>
      <c r="F411" s="4" t="s">
        <v>31</v>
      </c>
      <c r="G411" s="8" t="str">
        <f t="shared" si="61"/>
        <v>01/06/2021</v>
      </c>
      <c r="H411" s="4" t="s">
        <v>1</v>
      </c>
      <c r="I411" s="4" t="s">
        <v>0</v>
      </c>
      <c r="J411" s="7" t="s">
        <v>1000</v>
      </c>
      <c r="K411" s="7" t="s">
        <v>172</v>
      </c>
      <c r="L411" s="9" t="str">
        <f>+VLOOKUP(K411,'[1]BASE DE PROVEEDORES'!$A:$B,2,0)</f>
        <v>MANEJO INTEGRAL DE DESECHOS SOLIDOS SEM DE C.V.</v>
      </c>
      <c r="M411" s="10">
        <v>0</v>
      </c>
      <c r="N411" s="7" t="s">
        <v>2</v>
      </c>
      <c r="O411" s="7" t="s">
        <v>2</v>
      </c>
      <c r="P411" s="10">
        <v>28.08</v>
      </c>
      <c r="Q411" s="29" t="s">
        <v>2</v>
      </c>
      <c r="R411" s="32" t="s">
        <v>2</v>
      </c>
      <c r="S411" s="32" t="s">
        <v>2</v>
      </c>
      <c r="T411" s="29">
        <f t="shared" si="62"/>
        <v>3.6503999999999999</v>
      </c>
      <c r="U411" s="28">
        <f t="shared" si="63"/>
        <v>31.730399999999999</v>
      </c>
      <c r="V411" s="4" t="s">
        <v>3</v>
      </c>
    </row>
    <row r="412" spans="1:24" hidden="1" x14ac:dyDescent="0.25">
      <c r="A412" s="7" t="s">
        <v>843</v>
      </c>
      <c r="B412" s="4" t="s">
        <v>922</v>
      </c>
      <c r="C412" s="5" t="str">
        <f t="shared" si="59"/>
        <v>02</v>
      </c>
      <c r="D412" s="5" t="str">
        <f t="shared" si="60"/>
        <v>06</v>
      </c>
      <c r="E412" s="4" t="s">
        <v>30</v>
      </c>
      <c r="F412" s="4" t="s">
        <v>31</v>
      </c>
      <c r="G412" s="8" t="str">
        <f t="shared" si="61"/>
        <v>02/06/2021</v>
      </c>
      <c r="H412" s="4" t="s">
        <v>1</v>
      </c>
      <c r="I412" s="4" t="s">
        <v>0</v>
      </c>
      <c r="J412" s="7" t="s">
        <v>923</v>
      </c>
      <c r="K412" s="7" t="s">
        <v>28</v>
      </c>
      <c r="L412" s="9" t="str">
        <f>+VLOOKUP(K412,'[1]BASE DE PROVEEDORES'!$A:$B,2,0)</f>
        <v xml:space="preserve">ACTIVIDADES PETROLERAS DE EL SALVADOR S.A DE C.V </v>
      </c>
      <c r="M412" s="10">
        <v>3.02</v>
      </c>
      <c r="N412" s="7" t="s">
        <v>2</v>
      </c>
      <c r="O412" s="7" t="s">
        <v>2</v>
      </c>
      <c r="P412" s="10">
        <v>28.86</v>
      </c>
      <c r="Q412" s="29" t="s">
        <v>2</v>
      </c>
      <c r="R412" s="32" t="s">
        <v>2</v>
      </c>
      <c r="S412" s="32" t="s">
        <v>2</v>
      </c>
      <c r="T412" s="29">
        <f t="shared" si="62"/>
        <v>3.7518000000000002</v>
      </c>
      <c r="U412" s="28">
        <f t="shared" si="63"/>
        <v>35.631799999999998</v>
      </c>
      <c r="V412" s="4" t="s">
        <v>3</v>
      </c>
      <c r="X412" s="3">
        <f>+ROUND(T412,2)</f>
        <v>3.75</v>
      </c>
    </row>
    <row r="413" spans="1:24" hidden="1" x14ac:dyDescent="0.25">
      <c r="A413" s="7" t="s">
        <v>843</v>
      </c>
      <c r="B413" s="4" t="s">
        <v>922</v>
      </c>
      <c r="C413" s="5" t="str">
        <f t="shared" si="59"/>
        <v>02</v>
      </c>
      <c r="D413" s="5" t="str">
        <f t="shared" si="60"/>
        <v>06</v>
      </c>
      <c r="E413" s="4" t="s">
        <v>30</v>
      </c>
      <c r="F413" s="4" t="s">
        <v>31</v>
      </c>
      <c r="G413" s="8" t="str">
        <f t="shared" si="61"/>
        <v>02/06/2021</v>
      </c>
      <c r="H413" s="4" t="s">
        <v>1</v>
      </c>
      <c r="I413" s="4" t="s">
        <v>0</v>
      </c>
      <c r="J413" s="7" t="s">
        <v>973</v>
      </c>
      <c r="K413" s="7" t="s">
        <v>172</v>
      </c>
      <c r="L413" s="9" t="str">
        <f>+VLOOKUP(K413,'[1]BASE DE PROVEEDORES'!$A:$B,2,0)</f>
        <v>MANEJO INTEGRAL DE DESECHOS SOLIDOS SEM DE C.V.</v>
      </c>
      <c r="M413" s="10">
        <v>0</v>
      </c>
      <c r="N413" s="7" t="s">
        <v>2</v>
      </c>
      <c r="O413" s="7" t="s">
        <v>2</v>
      </c>
      <c r="P413" s="10">
        <v>45.48</v>
      </c>
      <c r="Q413" s="29" t="s">
        <v>2</v>
      </c>
      <c r="R413" s="32" t="s">
        <v>2</v>
      </c>
      <c r="S413" s="32" t="s">
        <v>2</v>
      </c>
      <c r="T413" s="29">
        <f t="shared" si="62"/>
        <v>5.9123999999999999</v>
      </c>
      <c r="U413" s="28">
        <f t="shared" si="63"/>
        <v>51.392399999999995</v>
      </c>
      <c r="V413" s="4" t="s">
        <v>3</v>
      </c>
      <c r="X413" s="3">
        <f>+ROUND(T413,2)</f>
        <v>5.91</v>
      </c>
    </row>
    <row r="414" spans="1:24" hidden="1" x14ac:dyDescent="0.25">
      <c r="A414" s="7" t="s">
        <v>843</v>
      </c>
      <c r="B414" s="4" t="s">
        <v>922</v>
      </c>
      <c r="C414" s="5" t="str">
        <f t="shared" si="59"/>
        <v>02</v>
      </c>
      <c r="D414" s="5" t="str">
        <f t="shared" si="60"/>
        <v>06</v>
      </c>
      <c r="E414" s="4" t="s">
        <v>30</v>
      </c>
      <c r="F414" s="4" t="s">
        <v>31</v>
      </c>
      <c r="G414" s="8" t="str">
        <f t="shared" si="61"/>
        <v>02/06/2021</v>
      </c>
      <c r="H414" s="4" t="s">
        <v>1</v>
      </c>
      <c r="I414" s="4" t="s">
        <v>0</v>
      </c>
      <c r="J414" s="7" t="s">
        <v>989</v>
      </c>
      <c r="K414" s="7" t="s">
        <v>172</v>
      </c>
      <c r="L414" s="9" t="str">
        <f>+VLOOKUP(K414,'[1]BASE DE PROVEEDORES'!$A:$B,2,0)</f>
        <v>MANEJO INTEGRAL DE DESECHOS SOLIDOS SEM DE C.V.</v>
      </c>
      <c r="M414" s="10">
        <v>0</v>
      </c>
      <c r="N414" s="7" t="s">
        <v>2</v>
      </c>
      <c r="O414" s="7" t="s">
        <v>2</v>
      </c>
      <c r="P414" s="10">
        <v>94.34</v>
      </c>
      <c r="Q414" s="29" t="s">
        <v>2</v>
      </c>
      <c r="R414" s="32" t="s">
        <v>2</v>
      </c>
      <c r="S414" s="32" t="s">
        <v>2</v>
      </c>
      <c r="T414" s="29">
        <f t="shared" si="62"/>
        <v>12.264200000000001</v>
      </c>
      <c r="U414" s="28">
        <f t="shared" si="63"/>
        <v>106.60420000000001</v>
      </c>
      <c r="V414" s="4" t="s">
        <v>3</v>
      </c>
    </row>
    <row r="415" spans="1:24" hidden="1" x14ac:dyDescent="0.25">
      <c r="A415" s="7" t="s">
        <v>843</v>
      </c>
      <c r="B415" s="4" t="s">
        <v>851</v>
      </c>
      <c r="C415" s="5" t="str">
        <f t="shared" si="59"/>
        <v>03</v>
      </c>
      <c r="D415" s="5" t="str">
        <f t="shared" si="60"/>
        <v>06</v>
      </c>
      <c r="E415" s="4" t="s">
        <v>30</v>
      </c>
      <c r="F415" s="4" t="s">
        <v>31</v>
      </c>
      <c r="G415" s="8" t="str">
        <f t="shared" si="61"/>
        <v>03/06/2021</v>
      </c>
      <c r="H415" s="4" t="s">
        <v>1</v>
      </c>
      <c r="I415" s="4" t="s">
        <v>0</v>
      </c>
      <c r="J415" s="7" t="s">
        <v>852</v>
      </c>
      <c r="K415" s="7" t="s">
        <v>45</v>
      </c>
      <c r="L415" s="9" t="str">
        <f>+VLOOKUP(K415,'[1]BASE DE PROVEEDORES'!$A:$B,2,0)</f>
        <v>JOSE RICARDO ANTONIO MOLINA</v>
      </c>
      <c r="M415" s="10">
        <f>0.97+0.48</f>
        <v>1.45</v>
      </c>
      <c r="N415" s="7" t="s">
        <v>2</v>
      </c>
      <c r="O415" s="7" t="s">
        <v>2</v>
      </c>
      <c r="P415" s="10">
        <v>11.99</v>
      </c>
      <c r="Q415" s="29" t="s">
        <v>2</v>
      </c>
      <c r="R415" s="32" t="s">
        <v>2</v>
      </c>
      <c r="S415" s="32" t="s">
        <v>2</v>
      </c>
      <c r="T415" s="29">
        <f t="shared" si="62"/>
        <v>1.5587</v>
      </c>
      <c r="U415" s="28">
        <f t="shared" si="63"/>
        <v>14.998699999999999</v>
      </c>
      <c r="V415" s="4" t="s">
        <v>3</v>
      </c>
      <c r="X415" s="3">
        <f t="shared" ref="X415:X425" si="65">+ROUND(T415,2)</f>
        <v>1.56</v>
      </c>
    </row>
    <row r="416" spans="1:24" hidden="1" x14ac:dyDescent="0.25">
      <c r="A416" s="7" t="s">
        <v>843</v>
      </c>
      <c r="B416" s="4" t="s">
        <v>851</v>
      </c>
      <c r="C416" s="5" t="str">
        <f t="shared" si="59"/>
        <v>03</v>
      </c>
      <c r="D416" s="5" t="str">
        <f t="shared" si="60"/>
        <v>06</v>
      </c>
      <c r="E416" s="4" t="s">
        <v>30</v>
      </c>
      <c r="F416" s="4" t="s">
        <v>31</v>
      </c>
      <c r="G416" s="8" t="str">
        <f t="shared" si="61"/>
        <v>03/06/2021</v>
      </c>
      <c r="H416" s="4" t="s">
        <v>1</v>
      </c>
      <c r="I416" s="4" t="s">
        <v>0</v>
      </c>
      <c r="J416" s="7" t="s">
        <v>853</v>
      </c>
      <c r="K416" s="7" t="s">
        <v>45</v>
      </c>
      <c r="L416" s="9" t="str">
        <f>+VLOOKUP(K416,'[1]BASE DE PROVEEDORES'!$A:$B,2,0)</f>
        <v>JOSE RICARDO ANTONIO MOLINA</v>
      </c>
      <c r="M416" s="10">
        <f>7.58+3.79</f>
        <v>11.370000000000001</v>
      </c>
      <c r="N416" s="7" t="s">
        <v>2</v>
      </c>
      <c r="O416" s="7" t="s">
        <v>2</v>
      </c>
      <c r="P416" s="10">
        <v>93.9</v>
      </c>
      <c r="Q416" s="29" t="s">
        <v>2</v>
      </c>
      <c r="R416" s="32" t="s">
        <v>2</v>
      </c>
      <c r="S416" s="32" t="s">
        <v>2</v>
      </c>
      <c r="T416" s="29">
        <f t="shared" si="62"/>
        <v>12.207000000000001</v>
      </c>
      <c r="U416" s="28">
        <f t="shared" si="63"/>
        <v>117.477</v>
      </c>
      <c r="V416" s="4" t="s">
        <v>3</v>
      </c>
      <c r="X416" s="3">
        <f t="shared" si="65"/>
        <v>12.21</v>
      </c>
    </row>
    <row r="417" spans="1:24" hidden="1" x14ac:dyDescent="0.25">
      <c r="A417" s="7" t="s">
        <v>843</v>
      </c>
      <c r="B417" s="4" t="s">
        <v>851</v>
      </c>
      <c r="C417" s="5" t="str">
        <f t="shared" ref="C417:C448" si="66">+LEFT(B417,2)</f>
        <v>03</v>
      </c>
      <c r="D417" s="5" t="str">
        <f t="shared" ref="D417:D448" si="67">+RIGHT(B417,2)</f>
        <v>06</v>
      </c>
      <c r="E417" s="4" t="s">
        <v>30</v>
      </c>
      <c r="F417" s="4" t="s">
        <v>31</v>
      </c>
      <c r="G417" s="8" t="str">
        <f t="shared" ref="G417:G448" si="68">+C417&amp;F417&amp;D417&amp;F417&amp;E417</f>
        <v>03/06/2021</v>
      </c>
      <c r="H417" s="4" t="s">
        <v>1</v>
      </c>
      <c r="I417" s="4" t="s">
        <v>0</v>
      </c>
      <c r="J417" s="7" t="s">
        <v>974</v>
      </c>
      <c r="K417" s="7" t="s">
        <v>172</v>
      </c>
      <c r="L417" s="9" t="str">
        <f>+VLOOKUP(K417,'[1]BASE DE PROVEEDORES'!$A:$B,2,0)</f>
        <v>MANEJO INTEGRAL DE DESECHOS SOLIDOS SEM DE C.V.</v>
      </c>
      <c r="M417" s="10">
        <v>0</v>
      </c>
      <c r="N417" s="7" t="s">
        <v>2</v>
      </c>
      <c r="O417" s="7" t="s">
        <v>2</v>
      </c>
      <c r="P417" s="10">
        <v>44.64</v>
      </c>
      <c r="Q417" s="29" t="s">
        <v>2</v>
      </c>
      <c r="R417" s="32" t="s">
        <v>2</v>
      </c>
      <c r="S417" s="32" t="s">
        <v>2</v>
      </c>
      <c r="T417" s="29">
        <f t="shared" ref="T417:T448" si="69">+P417*0.13</f>
        <v>5.8032000000000004</v>
      </c>
      <c r="U417" s="28">
        <f t="shared" ref="U417:U448" si="70">+M417+P417+T417</f>
        <v>50.443200000000004</v>
      </c>
      <c r="V417" s="4" t="s">
        <v>3</v>
      </c>
      <c r="X417" s="3">
        <f t="shared" si="65"/>
        <v>5.8</v>
      </c>
    </row>
    <row r="418" spans="1:24" hidden="1" x14ac:dyDescent="0.25">
      <c r="A418" s="7" t="s">
        <v>843</v>
      </c>
      <c r="B418" s="4" t="s">
        <v>920</v>
      </c>
      <c r="C418" s="5" t="str">
        <f t="shared" si="66"/>
        <v>04</v>
      </c>
      <c r="D418" s="5" t="str">
        <f t="shared" si="67"/>
        <v>06</v>
      </c>
      <c r="E418" s="4" t="s">
        <v>30</v>
      </c>
      <c r="F418" s="4" t="s">
        <v>31</v>
      </c>
      <c r="G418" s="8" t="str">
        <f t="shared" si="68"/>
        <v>04/06/2021</v>
      </c>
      <c r="H418" s="4" t="s">
        <v>1</v>
      </c>
      <c r="I418" s="4" t="s">
        <v>0</v>
      </c>
      <c r="J418" s="7" t="s">
        <v>921</v>
      </c>
      <c r="K418" s="7" t="s">
        <v>28</v>
      </c>
      <c r="L418" s="9" t="str">
        <f>+VLOOKUP(K418,'[1]BASE DE PROVEEDORES'!$A:$B,2,0)</f>
        <v xml:space="preserve">ACTIVIDADES PETROLERAS DE EL SALVADOR S.A DE C.V </v>
      </c>
      <c r="M418" s="10">
        <f>1.66+0.83</f>
        <v>2.4899999999999998</v>
      </c>
      <c r="N418" s="7" t="s">
        <v>2</v>
      </c>
      <c r="O418" s="7" t="s">
        <v>2</v>
      </c>
      <c r="P418" s="10">
        <v>20.58</v>
      </c>
      <c r="Q418" s="29" t="s">
        <v>2</v>
      </c>
      <c r="R418" s="32" t="s">
        <v>2</v>
      </c>
      <c r="S418" s="32" t="s">
        <v>2</v>
      </c>
      <c r="T418" s="29">
        <f t="shared" si="69"/>
        <v>2.6753999999999998</v>
      </c>
      <c r="U418" s="28">
        <f t="shared" si="70"/>
        <v>25.745399999999997</v>
      </c>
      <c r="V418" s="4" t="s">
        <v>3</v>
      </c>
      <c r="X418" s="3">
        <f t="shared" si="65"/>
        <v>2.68</v>
      </c>
    </row>
    <row r="419" spans="1:24" hidden="1" x14ac:dyDescent="0.25">
      <c r="A419" s="7" t="s">
        <v>843</v>
      </c>
      <c r="B419" s="4" t="s">
        <v>920</v>
      </c>
      <c r="C419" s="5" t="str">
        <f t="shared" si="66"/>
        <v>04</v>
      </c>
      <c r="D419" s="5" t="str">
        <f t="shared" si="67"/>
        <v>06</v>
      </c>
      <c r="E419" s="4" t="s">
        <v>30</v>
      </c>
      <c r="F419" s="4" t="s">
        <v>31</v>
      </c>
      <c r="G419" s="8" t="str">
        <f t="shared" si="68"/>
        <v>04/06/2021</v>
      </c>
      <c r="H419" s="4" t="s">
        <v>1</v>
      </c>
      <c r="I419" s="4" t="s">
        <v>0</v>
      </c>
      <c r="J419" s="7" t="s">
        <v>935</v>
      </c>
      <c r="K419" s="7" t="s">
        <v>930</v>
      </c>
      <c r="L419" s="9" t="str">
        <f>+VLOOKUP(K419,'[1]BASE DE PROVEEDORES'!$A:$B,2,0)</f>
        <v>FREDY GUILLERMO CACERES RAFAELANO</v>
      </c>
      <c r="M419" s="10">
        <v>0</v>
      </c>
      <c r="N419" s="7" t="s">
        <v>2</v>
      </c>
      <c r="O419" s="7" t="s">
        <v>2</v>
      </c>
      <c r="P419" s="10">
        <v>620</v>
      </c>
      <c r="Q419" s="29" t="s">
        <v>2</v>
      </c>
      <c r="R419" s="32" t="s">
        <v>2</v>
      </c>
      <c r="S419" s="32" t="s">
        <v>2</v>
      </c>
      <c r="T419" s="29">
        <f t="shared" si="69"/>
        <v>80.600000000000009</v>
      </c>
      <c r="U419" s="28">
        <f t="shared" si="70"/>
        <v>700.6</v>
      </c>
      <c r="V419" s="4" t="s">
        <v>3</v>
      </c>
      <c r="X419" s="3">
        <f t="shared" si="65"/>
        <v>80.599999999999994</v>
      </c>
    </row>
    <row r="420" spans="1:24" hidden="1" x14ac:dyDescent="0.25">
      <c r="A420" s="7" t="s">
        <v>843</v>
      </c>
      <c r="B420" s="4" t="s">
        <v>920</v>
      </c>
      <c r="C420" s="5" t="str">
        <f t="shared" si="66"/>
        <v>04</v>
      </c>
      <c r="D420" s="5" t="str">
        <f t="shared" si="67"/>
        <v>06</v>
      </c>
      <c r="E420" s="4" t="s">
        <v>30</v>
      </c>
      <c r="F420" s="4" t="s">
        <v>31</v>
      </c>
      <c r="G420" s="8" t="str">
        <f t="shared" si="68"/>
        <v>04/06/2021</v>
      </c>
      <c r="H420" s="4" t="s">
        <v>1</v>
      </c>
      <c r="I420" s="4" t="s">
        <v>0</v>
      </c>
      <c r="J420" s="7" t="s">
        <v>944</v>
      </c>
      <c r="K420" s="7" t="s">
        <v>126</v>
      </c>
      <c r="L420" s="9" t="str">
        <f>+VLOOKUP(K420,'[1]BASE DE PROVEEDORES'!$A:$B,2,0)</f>
        <v>REPUESTOS IZALCO S.A DE C.V.</v>
      </c>
      <c r="M420" s="10">
        <v>0</v>
      </c>
      <c r="N420" s="7" t="s">
        <v>2</v>
      </c>
      <c r="O420" s="7" t="s">
        <v>2</v>
      </c>
      <c r="P420" s="10">
        <v>181.8</v>
      </c>
      <c r="Q420" s="29" t="s">
        <v>2</v>
      </c>
      <c r="R420" s="32" t="s">
        <v>2</v>
      </c>
      <c r="S420" s="32" t="s">
        <v>2</v>
      </c>
      <c r="T420" s="29">
        <f t="shared" si="69"/>
        <v>23.634000000000004</v>
      </c>
      <c r="U420" s="28">
        <f t="shared" si="70"/>
        <v>205.43400000000003</v>
      </c>
      <c r="V420" s="4" t="s">
        <v>3</v>
      </c>
      <c r="X420" s="3">
        <f t="shared" si="65"/>
        <v>23.63</v>
      </c>
    </row>
    <row r="421" spans="1:24" hidden="1" x14ac:dyDescent="0.25">
      <c r="A421" s="7" t="s">
        <v>843</v>
      </c>
      <c r="B421" s="4" t="s">
        <v>920</v>
      </c>
      <c r="C421" s="5" t="str">
        <f t="shared" si="66"/>
        <v>04</v>
      </c>
      <c r="D421" s="5" t="str">
        <f t="shared" si="67"/>
        <v>06</v>
      </c>
      <c r="E421" s="4" t="s">
        <v>30</v>
      </c>
      <c r="F421" s="4" t="s">
        <v>31</v>
      </c>
      <c r="G421" s="8" t="str">
        <f t="shared" si="68"/>
        <v>04/06/2021</v>
      </c>
      <c r="H421" s="4" t="s">
        <v>1</v>
      </c>
      <c r="I421" s="4" t="s">
        <v>0</v>
      </c>
      <c r="J421" s="7" t="s">
        <v>956</v>
      </c>
      <c r="K421" s="7" t="s">
        <v>957</v>
      </c>
      <c r="L421" s="9" t="str">
        <f>+VLOOKUP(K421,'[1]BASE DE PROVEEDORES'!$A:$B,2,0)</f>
        <v>REPUESTOS CASTILLO S.A DE C.V.</v>
      </c>
      <c r="M421" s="10">
        <v>0</v>
      </c>
      <c r="N421" s="7" t="s">
        <v>2</v>
      </c>
      <c r="O421" s="7" t="s">
        <v>2</v>
      </c>
      <c r="P421" s="10">
        <v>97.35</v>
      </c>
      <c r="Q421" s="29" t="s">
        <v>2</v>
      </c>
      <c r="R421" s="32" t="s">
        <v>2</v>
      </c>
      <c r="S421" s="32" t="s">
        <v>2</v>
      </c>
      <c r="T421" s="29">
        <f t="shared" si="69"/>
        <v>12.6555</v>
      </c>
      <c r="U421" s="28">
        <f t="shared" si="70"/>
        <v>110.0055</v>
      </c>
      <c r="V421" s="4" t="s">
        <v>3</v>
      </c>
      <c r="X421" s="3">
        <f t="shared" si="65"/>
        <v>12.66</v>
      </c>
    </row>
    <row r="422" spans="1:24" hidden="1" x14ac:dyDescent="0.25">
      <c r="A422" s="7" t="s">
        <v>843</v>
      </c>
      <c r="B422" s="4" t="s">
        <v>920</v>
      </c>
      <c r="C422" s="5" t="str">
        <f t="shared" si="66"/>
        <v>04</v>
      </c>
      <c r="D422" s="5" t="str">
        <f t="shared" si="67"/>
        <v>06</v>
      </c>
      <c r="E422" s="4" t="s">
        <v>30</v>
      </c>
      <c r="F422" s="4" t="s">
        <v>31</v>
      </c>
      <c r="G422" s="8" t="str">
        <f t="shared" si="68"/>
        <v>04/06/2021</v>
      </c>
      <c r="H422" s="4" t="s">
        <v>1</v>
      </c>
      <c r="I422" s="4" t="s">
        <v>0</v>
      </c>
      <c r="J422" s="7" t="s">
        <v>965</v>
      </c>
      <c r="K422" s="7" t="s">
        <v>172</v>
      </c>
      <c r="L422" s="9" t="str">
        <f>+VLOOKUP(K422,'[1]BASE DE PROVEEDORES'!$A:$B,2,0)</f>
        <v>MANEJO INTEGRAL DE DESECHOS SOLIDOS SEM DE C.V.</v>
      </c>
      <c r="M422" s="10">
        <v>0</v>
      </c>
      <c r="N422" s="7" t="s">
        <v>2</v>
      </c>
      <c r="O422" s="7" t="s">
        <v>2</v>
      </c>
      <c r="P422" s="10">
        <v>42.68</v>
      </c>
      <c r="Q422" s="29" t="s">
        <v>2</v>
      </c>
      <c r="R422" s="32" t="s">
        <v>2</v>
      </c>
      <c r="S422" s="32" t="s">
        <v>2</v>
      </c>
      <c r="T422" s="29">
        <f t="shared" si="69"/>
        <v>5.5484</v>
      </c>
      <c r="U422" s="28">
        <f t="shared" si="70"/>
        <v>48.228400000000001</v>
      </c>
      <c r="V422" s="4" t="s">
        <v>3</v>
      </c>
      <c r="X422" s="3">
        <f t="shared" si="65"/>
        <v>5.55</v>
      </c>
    </row>
    <row r="423" spans="1:24" hidden="1" x14ac:dyDescent="0.25">
      <c r="A423" s="7" t="s">
        <v>843</v>
      </c>
      <c r="B423" s="4" t="s">
        <v>854</v>
      </c>
      <c r="C423" s="5" t="str">
        <f t="shared" si="66"/>
        <v>05</v>
      </c>
      <c r="D423" s="5" t="str">
        <f t="shared" si="67"/>
        <v>06</v>
      </c>
      <c r="E423" s="4" t="s">
        <v>30</v>
      </c>
      <c r="F423" s="4" t="s">
        <v>31</v>
      </c>
      <c r="G423" s="8" t="str">
        <f t="shared" si="68"/>
        <v>05/06/2021</v>
      </c>
      <c r="H423" s="4" t="s">
        <v>1</v>
      </c>
      <c r="I423" s="4" t="s">
        <v>0</v>
      </c>
      <c r="J423" s="7" t="s">
        <v>855</v>
      </c>
      <c r="K423" s="7" t="s">
        <v>45</v>
      </c>
      <c r="L423" s="9" t="str">
        <f>+VLOOKUP(K423,'[1]BASE DE PROVEEDORES'!$A:$B,2,0)</f>
        <v>JOSE RICARDO ANTONIO MOLINA</v>
      </c>
      <c r="M423" s="10">
        <f>8.63+4.31</f>
        <v>12.940000000000001</v>
      </c>
      <c r="N423" s="7" t="s">
        <v>2</v>
      </c>
      <c r="O423" s="7" t="s">
        <v>2</v>
      </c>
      <c r="P423" s="10">
        <v>106.91</v>
      </c>
      <c r="Q423" s="29" t="s">
        <v>2</v>
      </c>
      <c r="R423" s="32" t="s">
        <v>2</v>
      </c>
      <c r="S423" s="32" t="s">
        <v>2</v>
      </c>
      <c r="T423" s="29">
        <f t="shared" si="69"/>
        <v>13.898300000000001</v>
      </c>
      <c r="U423" s="28">
        <f t="shared" si="70"/>
        <v>133.7483</v>
      </c>
      <c r="V423" s="4" t="s">
        <v>3</v>
      </c>
      <c r="X423" s="3">
        <f t="shared" si="65"/>
        <v>13.9</v>
      </c>
    </row>
    <row r="424" spans="1:24" hidden="1" x14ac:dyDescent="0.25">
      <c r="A424" s="7" t="s">
        <v>843</v>
      </c>
      <c r="B424" s="4" t="s">
        <v>854</v>
      </c>
      <c r="C424" s="5" t="str">
        <f t="shared" si="66"/>
        <v>05</v>
      </c>
      <c r="D424" s="5" t="str">
        <f t="shared" si="67"/>
        <v>06</v>
      </c>
      <c r="E424" s="4" t="s">
        <v>30</v>
      </c>
      <c r="F424" s="4" t="s">
        <v>31</v>
      </c>
      <c r="G424" s="8" t="str">
        <f t="shared" si="68"/>
        <v>05/06/2021</v>
      </c>
      <c r="H424" s="4" t="s">
        <v>1</v>
      </c>
      <c r="I424" s="4" t="s">
        <v>0</v>
      </c>
      <c r="J424" s="7" t="s">
        <v>918</v>
      </c>
      <c r="K424" s="7" t="s">
        <v>28</v>
      </c>
      <c r="L424" s="9" t="str">
        <f>+VLOOKUP(K424,'[1]BASE DE PROVEEDORES'!$A:$B,2,0)</f>
        <v xml:space="preserve">ACTIVIDADES PETROLERAS DE EL SALVADOR S.A DE C.V </v>
      </c>
      <c r="M424" s="10">
        <f>7.02+3.51</f>
        <v>10.53</v>
      </c>
      <c r="N424" s="7" t="s">
        <v>2</v>
      </c>
      <c r="O424" s="7" t="s">
        <v>2</v>
      </c>
      <c r="P424" s="10">
        <v>86.96</v>
      </c>
      <c r="Q424" s="29" t="s">
        <v>2</v>
      </c>
      <c r="R424" s="32" t="s">
        <v>2</v>
      </c>
      <c r="S424" s="32" t="s">
        <v>2</v>
      </c>
      <c r="T424" s="29">
        <f t="shared" si="69"/>
        <v>11.3048</v>
      </c>
      <c r="U424" s="28">
        <f t="shared" si="70"/>
        <v>108.7948</v>
      </c>
      <c r="V424" s="4" t="s">
        <v>3</v>
      </c>
      <c r="X424" s="3">
        <f t="shared" si="65"/>
        <v>11.3</v>
      </c>
    </row>
    <row r="425" spans="1:24" hidden="1" x14ac:dyDescent="0.25">
      <c r="A425" s="7" t="s">
        <v>843</v>
      </c>
      <c r="B425" s="4" t="s">
        <v>854</v>
      </c>
      <c r="C425" s="5" t="str">
        <f t="shared" si="66"/>
        <v>05</v>
      </c>
      <c r="D425" s="5" t="str">
        <f t="shared" si="67"/>
        <v>06</v>
      </c>
      <c r="E425" s="4" t="s">
        <v>30</v>
      </c>
      <c r="F425" s="4" t="s">
        <v>31</v>
      </c>
      <c r="G425" s="8" t="str">
        <f t="shared" si="68"/>
        <v>05/06/2021</v>
      </c>
      <c r="H425" s="4" t="s">
        <v>1</v>
      </c>
      <c r="I425" s="4" t="s">
        <v>0</v>
      </c>
      <c r="J425" s="7" t="s">
        <v>919</v>
      </c>
      <c r="K425" s="7" t="s">
        <v>28</v>
      </c>
      <c r="L425" s="9" t="str">
        <f>+VLOOKUP(K425,'[1]BASE DE PROVEEDORES'!$A:$B,2,0)</f>
        <v xml:space="preserve">ACTIVIDADES PETROLERAS DE EL SALVADOR S.A DE C.V </v>
      </c>
      <c r="M425" s="10">
        <f>1.92+0.96</f>
        <v>2.88</v>
      </c>
      <c r="N425" s="7" t="s">
        <v>2</v>
      </c>
      <c r="O425" s="7" t="s">
        <v>2</v>
      </c>
      <c r="P425" s="10">
        <v>23.84</v>
      </c>
      <c r="Q425" s="29" t="s">
        <v>2</v>
      </c>
      <c r="R425" s="32" t="s">
        <v>2</v>
      </c>
      <c r="S425" s="32" t="s">
        <v>2</v>
      </c>
      <c r="T425" s="29">
        <f t="shared" si="69"/>
        <v>3.0992000000000002</v>
      </c>
      <c r="U425" s="28">
        <f t="shared" si="70"/>
        <v>29.819199999999999</v>
      </c>
      <c r="V425" s="4" t="s">
        <v>3</v>
      </c>
      <c r="X425" s="3">
        <f t="shared" si="65"/>
        <v>3.1</v>
      </c>
    </row>
    <row r="426" spans="1:24" hidden="1" x14ac:dyDescent="0.25">
      <c r="A426" s="7" t="s">
        <v>843</v>
      </c>
      <c r="B426" s="4" t="s">
        <v>854</v>
      </c>
      <c r="C426" s="5" t="str">
        <f t="shared" si="66"/>
        <v>05</v>
      </c>
      <c r="D426" s="5" t="str">
        <f t="shared" si="67"/>
        <v>06</v>
      </c>
      <c r="E426" s="4" t="s">
        <v>30</v>
      </c>
      <c r="F426" s="4" t="s">
        <v>31</v>
      </c>
      <c r="G426" s="8" t="str">
        <f t="shared" si="68"/>
        <v>05/06/2021</v>
      </c>
      <c r="H426" s="4" t="s">
        <v>1</v>
      </c>
      <c r="I426" s="4" t="s">
        <v>0</v>
      </c>
      <c r="J426" s="7" t="s">
        <v>992</v>
      </c>
      <c r="K426" s="7" t="s">
        <v>172</v>
      </c>
      <c r="L426" s="9" t="str">
        <f>+VLOOKUP(K426,'[1]BASE DE PROVEEDORES'!$A:$B,2,0)</f>
        <v>MANEJO INTEGRAL DE DESECHOS SOLIDOS SEM DE C.V.</v>
      </c>
      <c r="M426" s="10">
        <v>0</v>
      </c>
      <c r="N426" s="7" t="s">
        <v>2</v>
      </c>
      <c r="O426" s="7" t="s">
        <v>2</v>
      </c>
      <c r="P426" s="10">
        <v>56.26</v>
      </c>
      <c r="Q426" s="29" t="s">
        <v>2</v>
      </c>
      <c r="R426" s="32" t="s">
        <v>2</v>
      </c>
      <c r="S426" s="32" t="s">
        <v>2</v>
      </c>
      <c r="T426" s="29">
        <f t="shared" si="69"/>
        <v>7.3137999999999996</v>
      </c>
      <c r="U426" s="28">
        <f t="shared" si="70"/>
        <v>63.573799999999999</v>
      </c>
      <c r="V426" s="4" t="s">
        <v>3</v>
      </c>
    </row>
    <row r="427" spans="1:24" hidden="1" x14ac:dyDescent="0.25">
      <c r="A427" s="7" t="s">
        <v>843</v>
      </c>
      <c r="B427" s="4" t="s">
        <v>854</v>
      </c>
      <c r="C427" s="5" t="str">
        <f t="shared" si="66"/>
        <v>05</v>
      </c>
      <c r="D427" s="5" t="str">
        <f t="shared" si="67"/>
        <v>06</v>
      </c>
      <c r="E427" s="4" t="s">
        <v>30</v>
      </c>
      <c r="F427" s="4" t="s">
        <v>31</v>
      </c>
      <c r="G427" s="8" t="str">
        <f t="shared" si="68"/>
        <v>05/06/2021</v>
      </c>
      <c r="H427" s="4" t="s">
        <v>1</v>
      </c>
      <c r="I427" s="4" t="s">
        <v>0</v>
      </c>
      <c r="J427" s="7" t="s">
        <v>1001</v>
      </c>
      <c r="K427" s="7" t="s">
        <v>172</v>
      </c>
      <c r="L427" s="9" t="str">
        <f>+VLOOKUP(K427,'[1]BASE DE PROVEEDORES'!$A:$B,2,0)</f>
        <v>MANEJO INTEGRAL DE DESECHOS SOLIDOS SEM DE C.V.</v>
      </c>
      <c r="M427" s="10">
        <v>0</v>
      </c>
      <c r="N427" s="7" t="s">
        <v>2</v>
      </c>
      <c r="O427" s="7" t="s">
        <v>2</v>
      </c>
      <c r="P427" s="10">
        <v>28.08</v>
      </c>
      <c r="Q427" s="29" t="s">
        <v>2</v>
      </c>
      <c r="R427" s="32" t="s">
        <v>2</v>
      </c>
      <c r="S427" s="32" t="s">
        <v>2</v>
      </c>
      <c r="T427" s="29">
        <f t="shared" si="69"/>
        <v>3.6503999999999999</v>
      </c>
      <c r="U427" s="28">
        <f t="shared" si="70"/>
        <v>31.730399999999999</v>
      </c>
      <c r="V427" s="4" t="s">
        <v>3</v>
      </c>
    </row>
    <row r="428" spans="1:24" hidden="1" x14ac:dyDescent="0.25">
      <c r="A428" s="7" t="s">
        <v>843</v>
      </c>
      <c r="B428" s="4" t="s">
        <v>856</v>
      </c>
      <c r="C428" s="5" t="str">
        <f t="shared" si="66"/>
        <v>06</v>
      </c>
      <c r="D428" s="5" t="str">
        <f t="shared" si="67"/>
        <v>06</v>
      </c>
      <c r="E428" s="4" t="s">
        <v>30</v>
      </c>
      <c r="F428" s="4" t="s">
        <v>31</v>
      </c>
      <c r="G428" s="8" t="str">
        <f t="shared" si="68"/>
        <v>06/06/2021</v>
      </c>
      <c r="H428" s="4" t="s">
        <v>1</v>
      </c>
      <c r="I428" s="4" t="s">
        <v>0</v>
      </c>
      <c r="J428" s="7" t="s">
        <v>857</v>
      </c>
      <c r="K428" s="7" t="s">
        <v>45</v>
      </c>
      <c r="L428" s="9" t="str">
        <f>+VLOOKUP(K428,'[1]BASE DE PROVEEDORES'!$A:$B,2,0)</f>
        <v>JOSE RICARDO ANTONIO MOLINA</v>
      </c>
      <c r="M428" s="10">
        <f>7.55+3.77</f>
        <v>11.32</v>
      </c>
      <c r="N428" s="7" t="s">
        <v>2</v>
      </c>
      <c r="O428" s="7" t="s">
        <v>2</v>
      </c>
      <c r="P428" s="10">
        <v>93.52</v>
      </c>
      <c r="Q428" s="29" t="s">
        <v>2</v>
      </c>
      <c r="R428" s="32" t="s">
        <v>2</v>
      </c>
      <c r="S428" s="32" t="s">
        <v>2</v>
      </c>
      <c r="T428" s="29">
        <f t="shared" si="69"/>
        <v>12.1576</v>
      </c>
      <c r="U428" s="28">
        <f t="shared" si="70"/>
        <v>116.99760000000001</v>
      </c>
      <c r="V428" s="4" t="s">
        <v>3</v>
      </c>
      <c r="X428" s="3">
        <f>+ROUND(T428,2)</f>
        <v>12.16</v>
      </c>
    </row>
    <row r="429" spans="1:24" hidden="1" x14ac:dyDescent="0.25">
      <c r="A429" s="7" t="s">
        <v>843</v>
      </c>
      <c r="B429" s="4" t="s">
        <v>858</v>
      </c>
      <c r="C429" s="5" t="str">
        <f t="shared" si="66"/>
        <v>07</v>
      </c>
      <c r="D429" s="5" t="str">
        <f t="shared" si="67"/>
        <v>06</v>
      </c>
      <c r="E429" s="4" t="s">
        <v>30</v>
      </c>
      <c r="F429" s="4" t="s">
        <v>31</v>
      </c>
      <c r="G429" s="8" t="str">
        <f t="shared" si="68"/>
        <v>07/06/2021</v>
      </c>
      <c r="H429" s="4" t="s">
        <v>1</v>
      </c>
      <c r="I429" s="4" t="s">
        <v>0</v>
      </c>
      <c r="J429" s="7" t="s">
        <v>859</v>
      </c>
      <c r="K429" s="7" t="s">
        <v>45</v>
      </c>
      <c r="L429" s="9" t="str">
        <f>+VLOOKUP(K429,'[1]BASE DE PROVEEDORES'!$A:$B,2,0)</f>
        <v>JOSE RICARDO ANTONIO MOLINA</v>
      </c>
      <c r="M429" s="10">
        <v>1.64</v>
      </c>
      <c r="N429" s="7" t="s">
        <v>2</v>
      </c>
      <c r="O429" s="7" t="s">
        <v>2</v>
      </c>
      <c r="P429" s="10">
        <v>13.59</v>
      </c>
      <c r="Q429" s="29" t="s">
        <v>2</v>
      </c>
      <c r="R429" s="32" t="s">
        <v>2</v>
      </c>
      <c r="S429" s="32" t="s">
        <v>2</v>
      </c>
      <c r="T429" s="29">
        <f t="shared" si="69"/>
        <v>1.7666999999999999</v>
      </c>
      <c r="U429" s="28">
        <f t="shared" si="70"/>
        <v>16.996700000000001</v>
      </c>
      <c r="V429" s="4" t="s">
        <v>3</v>
      </c>
      <c r="X429" s="3">
        <f>+ROUND(T429,2)</f>
        <v>1.77</v>
      </c>
    </row>
    <row r="430" spans="1:24" hidden="1" x14ac:dyDescent="0.25">
      <c r="A430" s="7" t="s">
        <v>843</v>
      </c>
      <c r="B430" s="4" t="s">
        <v>846</v>
      </c>
      <c r="C430" s="5" t="str">
        <f t="shared" si="66"/>
        <v>08</v>
      </c>
      <c r="D430" s="5" t="str">
        <f t="shared" si="67"/>
        <v>06</v>
      </c>
      <c r="E430" s="4" t="s">
        <v>30</v>
      </c>
      <c r="F430" s="4" t="s">
        <v>31</v>
      </c>
      <c r="G430" s="8" t="str">
        <f t="shared" si="68"/>
        <v>08/06/2021</v>
      </c>
      <c r="H430" s="4" t="s">
        <v>1</v>
      </c>
      <c r="I430" s="4" t="s">
        <v>0</v>
      </c>
      <c r="J430" s="7" t="s">
        <v>847</v>
      </c>
      <c r="K430" s="7" t="s">
        <v>211</v>
      </c>
      <c r="L430" s="9" t="str">
        <f>+VLOOKUP(K430,'[1]BASE DE PROVEEDORES'!$A:$B,2,0)</f>
        <v>SEGUROS E INVERSIONES S.A</v>
      </c>
      <c r="M430" s="10">
        <v>0</v>
      </c>
      <c r="N430" s="7" t="s">
        <v>2</v>
      </c>
      <c r="O430" s="7" t="s">
        <v>2</v>
      </c>
      <c r="P430" s="10">
        <v>158.63999999999999</v>
      </c>
      <c r="Q430" s="29" t="s">
        <v>2</v>
      </c>
      <c r="R430" s="32" t="s">
        <v>2</v>
      </c>
      <c r="S430" s="32" t="s">
        <v>2</v>
      </c>
      <c r="T430" s="29">
        <f t="shared" si="69"/>
        <v>20.623200000000001</v>
      </c>
      <c r="U430" s="28">
        <f t="shared" si="70"/>
        <v>179.26319999999998</v>
      </c>
      <c r="V430" s="4" t="s">
        <v>3</v>
      </c>
      <c r="X430" s="3">
        <f>+ROUND(T430,2)</f>
        <v>20.62</v>
      </c>
    </row>
    <row r="431" spans="1:24" hidden="1" x14ac:dyDescent="0.25">
      <c r="A431" s="7" t="s">
        <v>843</v>
      </c>
      <c r="B431" s="4" t="s">
        <v>846</v>
      </c>
      <c r="C431" s="5" t="str">
        <f t="shared" si="66"/>
        <v>08</v>
      </c>
      <c r="D431" s="5" t="str">
        <f t="shared" si="67"/>
        <v>06</v>
      </c>
      <c r="E431" s="4" t="s">
        <v>30</v>
      </c>
      <c r="F431" s="4" t="s">
        <v>31</v>
      </c>
      <c r="G431" s="8" t="str">
        <f t="shared" si="68"/>
        <v>08/06/2021</v>
      </c>
      <c r="H431" s="4" t="s">
        <v>1</v>
      </c>
      <c r="I431" s="4" t="s">
        <v>0</v>
      </c>
      <c r="J431" s="7" t="s">
        <v>860</v>
      </c>
      <c r="K431" s="7" t="s">
        <v>45</v>
      </c>
      <c r="L431" s="9" t="str">
        <f>+VLOOKUP(K431,'[1]BASE DE PROVEEDORES'!$A:$B,2,0)</f>
        <v>JOSE RICARDO ANTONIO MOLINA</v>
      </c>
      <c r="M431" s="10">
        <f>6.26+3.13</f>
        <v>9.39</v>
      </c>
      <c r="N431" s="7" t="s">
        <v>2</v>
      </c>
      <c r="O431" s="7" t="s">
        <v>2</v>
      </c>
      <c r="P431" s="10">
        <v>77.53</v>
      </c>
      <c r="Q431" s="29" t="s">
        <v>2</v>
      </c>
      <c r="R431" s="32" t="s">
        <v>2</v>
      </c>
      <c r="S431" s="32" t="s">
        <v>2</v>
      </c>
      <c r="T431" s="29">
        <f t="shared" si="69"/>
        <v>10.078900000000001</v>
      </c>
      <c r="U431" s="28">
        <f t="shared" si="70"/>
        <v>96.998900000000006</v>
      </c>
      <c r="V431" s="4" t="s">
        <v>3</v>
      </c>
      <c r="X431" s="3">
        <f>+ROUND(T431,2)</f>
        <v>10.08</v>
      </c>
    </row>
    <row r="432" spans="1:24" hidden="1" x14ac:dyDescent="0.25">
      <c r="A432" s="7" t="s">
        <v>843</v>
      </c>
      <c r="B432" s="4" t="s">
        <v>846</v>
      </c>
      <c r="C432" s="5" t="str">
        <f t="shared" si="66"/>
        <v>08</v>
      </c>
      <c r="D432" s="5" t="str">
        <f t="shared" si="67"/>
        <v>06</v>
      </c>
      <c r="E432" s="4" t="s">
        <v>30</v>
      </c>
      <c r="F432" s="4" t="s">
        <v>31</v>
      </c>
      <c r="G432" s="8" t="str">
        <f t="shared" si="68"/>
        <v>08/06/2021</v>
      </c>
      <c r="H432" s="4" t="s">
        <v>1</v>
      </c>
      <c r="I432" s="4" t="s">
        <v>0</v>
      </c>
      <c r="J432" s="7" t="s">
        <v>588</v>
      </c>
      <c r="K432" s="7" t="s">
        <v>925</v>
      </c>
      <c r="L432" s="9" t="str">
        <f>+VLOOKUP(K432,'[1]BASE DE PROVEEDORES'!$A:$B,2,0)</f>
        <v>NELSON EDY MEJIA OSORIO</v>
      </c>
      <c r="M432" s="10">
        <v>0</v>
      </c>
      <c r="N432" s="7" t="s">
        <v>2</v>
      </c>
      <c r="O432" s="7" t="s">
        <v>2</v>
      </c>
      <c r="P432" s="10">
        <v>386</v>
      </c>
      <c r="Q432" s="29" t="s">
        <v>2</v>
      </c>
      <c r="R432" s="32" t="s">
        <v>2</v>
      </c>
      <c r="S432" s="32" t="s">
        <v>2</v>
      </c>
      <c r="T432" s="29">
        <f t="shared" si="69"/>
        <v>50.18</v>
      </c>
      <c r="U432" s="28">
        <f t="shared" si="70"/>
        <v>436.18</v>
      </c>
      <c r="V432" s="4" t="s">
        <v>3</v>
      </c>
      <c r="X432" s="3">
        <f>+ROUND(T432,2)</f>
        <v>50.18</v>
      </c>
    </row>
    <row r="433" spans="1:24" hidden="1" x14ac:dyDescent="0.25">
      <c r="A433" s="7" t="s">
        <v>843</v>
      </c>
      <c r="B433" s="4" t="s">
        <v>846</v>
      </c>
      <c r="C433" s="5" t="str">
        <f t="shared" si="66"/>
        <v>08</v>
      </c>
      <c r="D433" s="5" t="str">
        <f t="shared" si="67"/>
        <v>06</v>
      </c>
      <c r="E433" s="4" t="s">
        <v>30</v>
      </c>
      <c r="F433" s="4" t="s">
        <v>31</v>
      </c>
      <c r="G433" s="8" t="str">
        <f t="shared" si="68"/>
        <v>08/06/2021</v>
      </c>
      <c r="H433" s="4" t="s">
        <v>1</v>
      </c>
      <c r="I433" s="4" t="s">
        <v>0</v>
      </c>
      <c r="J433" s="7" t="s">
        <v>985</v>
      </c>
      <c r="K433" s="7" t="s">
        <v>172</v>
      </c>
      <c r="L433" s="9" t="str">
        <f>+VLOOKUP(K433,'[1]BASE DE PROVEEDORES'!$A:$B,2,0)</f>
        <v>MANEJO INTEGRAL DE DESECHOS SOLIDOS SEM DE C.V.</v>
      </c>
      <c r="M433" s="10">
        <v>0</v>
      </c>
      <c r="N433" s="7" t="s">
        <v>2</v>
      </c>
      <c r="O433" s="7" t="s">
        <v>2</v>
      </c>
      <c r="P433" s="10">
        <v>56.26</v>
      </c>
      <c r="Q433" s="29" t="s">
        <v>2</v>
      </c>
      <c r="R433" s="32" t="s">
        <v>2</v>
      </c>
      <c r="S433" s="32" t="s">
        <v>2</v>
      </c>
      <c r="T433" s="29">
        <f t="shared" si="69"/>
        <v>7.3137999999999996</v>
      </c>
      <c r="U433" s="28">
        <f t="shared" si="70"/>
        <v>63.573799999999999</v>
      </c>
      <c r="V433" s="4" t="s">
        <v>3</v>
      </c>
    </row>
    <row r="434" spans="1:24" hidden="1" x14ac:dyDescent="0.25">
      <c r="A434" s="7" t="s">
        <v>843</v>
      </c>
      <c r="B434" s="4" t="s">
        <v>846</v>
      </c>
      <c r="C434" s="5" t="str">
        <f t="shared" si="66"/>
        <v>08</v>
      </c>
      <c r="D434" s="5" t="str">
        <f t="shared" si="67"/>
        <v>06</v>
      </c>
      <c r="E434" s="4" t="s">
        <v>30</v>
      </c>
      <c r="F434" s="4" t="s">
        <v>31</v>
      </c>
      <c r="G434" s="8" t="str">
        <f t="shared" si="68"/>
        <v>08/06/2021</v>
      </c>
      <c r="H434" s="4" t="s">
        <v>1</v>
      </c>
      <c r="I434" s="4" t="s">
        <v>0</v>
      </c>
      <c r="J434" s="7" t="s">
        <v>993</v>
      </c>
      <c r="K434" s="7" t="s">
        <v>172</v>
      </c>
      <c r="L434" s="9" t="str">
        <f>+VLOOKUP(K434,'[1]BASE DE PROVEEDORES'!$A:$B,2,0)</f>
        <v>MANEJO INTEGRAL DE DESECHOS SOLIDOS SEM DE C.V.</v>
      </c>
      <c r="M434" s="10">
        <v>0</v>
      </c>
      <c r="N434" s="7" t="s">
        <v>2</v>
      </c>
      <c r="O434" s="7" t="s">
        <v>2</v>
      </c>
      <c r="P434" s="10">
        <v>56.26</v>
      </c>
      <c r="Q434" s="29" t="s">
        <v>2</v>
      </c>
      <c r="R434" s="32" t="s">
        <v>2</v>
      </c>
      <c r="S434" s="32" t="s">
        <v>2</v>
      </c>
      <c r="T434" s="29">
        <f t="shared" si="69"/>
        <v>7.3137999999999996</v>
      </c>
      <c r="U434" s="28">
        <f t="shared" si="70"/>
        <v>63.573799999999999</v>
      </c>
      <c r="V434" s="4" t="s">
        <v>3</v>
      </c>
    </row>
    <row r="435" spans="1:24" hidden="1" x14ac:dyDescent="0.25">
      <c r="A435" s="7" t="s">
        <v>843</v>
      </c>
      <c r="B435" s="4" t="s">
        <v>861</v>
      </c>
      <c r="C435" s="5" t="str">
        <f t="shared" si="66"/>
        <v>09</v>
      </c>
      <c r="D435" s="5" t="str">
        <f t="shared" si="67"/>
        <v>06</v>
      </c>
      <c r="E435" s="4" t="s">
        <v>30</v>
      </c>
      <c r="F435" s="4" t="s">
        <v>31</v>
      </c>
      <c r="G435" s="8" t="str">
        <f t="shared" si="68"/>
        <v>09/06/2021</v>
      </c>
      <c r="H435" s="4" t="s">
        <v>1</v>
      </c>
      <c r="I435" s="4" t="s">
        <v>0</v>
      </c>
      <c r="J435" s="7" t="s">
        <v>862</v>
      </c>
      <c r="K435" s="7" t="s">
        <v>45</v>
      </c>
      <c r="L435" s="9" t="str">
        <f>+VLOOKUP(K435,'[1]BASE DE PROVEEDORES'!$A:$B,2,0)</f>
        <v>JOSE RICARDO ANTONIO MOLINA</v>
      </c>
      <c r="M435" s="10">
        <v>10.29</v>
      </c>
      <c r="N435" s="7" t="s">
        <v>2</v>
      </c>
      <c r="O435" s="7" t="s">
        <v>2</v>
      </c>
      <c r="P435" s="10">
        <v>85.02</v>
      </c>
      <c r="Q435" s="29" t="s">
        <v>2</v>
      </c>
      <c r="R435" s="32" t="s">
        <v>2</v>
      </c>
      <c r="S435" s="32" t="s">
        <v>2</v>
      </c>
      <c r="T435" s="29">
        <f t="shared" si="69"/>
        <v>11.0526</v>
      </c>
      <c r="U435" s="28">
        <f t="shared" si="70"/>
        <v>106.3626</v>
      </c>
      <c r="V435" s="4" t="s">
        <v>3</v>
      </c>
      <c r="X435" s="3">
        <f t="shared" ref="X435:X449" si="71">+ROUND(T435,2)</f>
        <v>11.05</v>
      </c>
    </row>
    <row r="436" spans="1:24" hidden="1" x14ac:dyDescent="0.25">
      <c r="A436" s="7" t="s">
        <v>843</v>
      </c>
      <c r="B436" s="4" t="s">
        <v>861</v>
      </c>
      <c r="C436" s="5" t="str">
        <f t="shared" si="66"/>
        <v>09</v>
      </c>
      <c r="D436" s="5" t="str">
        <f t="shared" si="67"/>
        <v>06</v>
      </c>
      <c r="E436" s="4" t="s">
        <v>30</v>
      </c>
      <c r="F436" s="4" t="s">
        <v>31</v>
      </c>
      <c r="G436" s="8" t="str">
        <f t="shared" si="68"/>
        <v>09/06/2021</v>
      </c>
      <c r="H436" s="4" t="s">
        <v>1</v>
      </c>
      <c r="I436" s="4" t="s">
        <v>0</v>
      </c>
      <c r="J436" s="7" t="s">
        <v>917</v>
      </c>
      <c r="K436" s="7" t="s">
        <v>28</v>
      </c>
      <c r="L436" s="9" t="str">
        <f>+VLOOKUP(K436,'[1]BASE DE PROVEEDORES'!$A:$B,2,0)</f>
        <v xml:space="preserve">ACTIVIDADES PETROLERAS DE EL SALVADOR S.A DE C.V </v>
      </c>
      <c r="M436" s="10">
        <f>2.58+1.29</f>
        <v>3.87</v>
      </c>
      <c r="N436" s="7" t="s">
        <v>2</v>
      </c>
      <c r="O436" s="7" t="s">
        <v>2</v>
      </c>
      <c r="P436" s="10">
        <v>31.97</v>
      </c>
      <c r="Q436" s="29" t="s">
        <v>2</v>
      </c>
      <c r="R436" s="32" t="s">
        <v>2</v>
      </c>
      <c r="S436" s="32" t="s">
        <v>2</v>
      </c>
      <c r="T436" s="29">
        <f t="shared" si="69"/>
        <v>4.1561000000000003</v>
      </c>
      <c r="U436" s="28">
        <f t="shared" si="70"/>
        <v>39.996099999999998</v>
      </c>
      <c r="V436" s="4" t="s">
        <v>3</v>
      </c>
      <c r="X436" s="3">
        <f t="shared" si="71"/>
        <v>4.16</v>
      </c>
    </row>
    <row r="437" spans="1:24" hidden="1" x14ac:dyDescent="0.25">
      <c r="A437" s="7" t="s">
        <v>843</v>
      </c>
      <c r="B437" s="4" t="s">
        <v>861</v>
      </c>
      <c r="C437" s="5" t="str">
        <f t="shared" si="66"/>
        <v>09</v>
      </c>
      <c r="D437" s="5" t="str">
        <f t="shared" si="67"/>
        <v>06</v>
      </c>
      <c r="E437" s="4" t="s">
        <v>30</v>
      </c>
      <c r="F437" s="4" t="s">
        <v>31</v>
      </c>
      <c r="G437" s="8" t="str">
        <f t="shared" si="68"/>
        <v>09/06/2021</v>
      </c>
      <c r="H437" s="4" t="s">
        <v>1</v>
      </c>
      <c r="I437" s="4" t="s">
        <v>0</v>
      </c>
      <c r="J437" s="7" t="s">
        <v>943</v>
      </c>
      <c r="K437" s="7" t="s">
        <v>126</v>
      </c>
      <c r="L437" s="9" t="str">
        <f>+VLOOKUP(K437,'[1]BASE DE PROVEEDORES'!$A:$B,2,0)</f>
        <v>REPUESTOS IZALCO S.A DE C.V.</v>
      </c>
      <c r="M437" s="10">
        <v>0</v>
      </c>
      <c r="N437" s="7" t="s">
        <v>2</v>
      </c>
      <c r="O437" s="7" t="s">
        <v>2</v>
      </c>
      <c r="P437" s="10">
        <v>184.95</v>
      </c>
      <c r="Q437" s="29" t="s">
        <v>2</v>
      </c>
      <c r="R437" s="32" t="s">
        <v>2</v>
      </c>
      <c r="S437" s="32" t="s">
        <v>2</v>
      </c>
      <c r="T437" s="29">
        <f t="shared" si="69"/>
        <v>24.043499999999998</v>
      </c>
      <c r="U437" s="28">
        <f t="shared" si="70"/>
        <v>208.99349999999998</v>
      </c>
      <c r="V437" s="4" t="s">
        <v>3</v>
      </c>
      <c r="X437" s="3">
        <f t="shared" si="71"/>
        <v>24.04</v>
      </c>
    </row>
    <row r="438" spans="1:24" hidden="1" x14ac:dyDescent="0.25">
      <c r="A438" s="7" t="s">
        <v>843</v>
      </c>
      <c r="B438" s="4" t="s">
        <v>861</v>
      </c>
      <c r="C438" s="5" t="str">
        <f t="shared" si="66"/>
        <v>09</v>
      </c>
      <c r="D438" s="5" t="str">
        <f t="shared" si="67"/>
        <v>06</v>
      </c>
      <c r="E438" s="4" t="s">
        <v>30</v>
      </c>
      <c r="F438" s="4" t="s">
        <v>31</v>
      </c>
      <c r="G438" s="8" t="str">
        <f t="shared" si="68"/>
        <v>09/06/2021</v>
      </c>
      <c r="H438" s="4" t="s">
        <v>1</v>
      </c>
      <c r="I438" s="4" t="s">
        <v>0</v>
      </c>
      <c r="J438" s="7" t="s">
        <v>946</v>
      </c>
      <c r="K438" s="7" t="s">
        <v>151</v>
      </c>
      <c r="L438" s="9" t="str">
        <f>+VLOOKUP(K438,'[1]BASE DE PROVEEDORES'!$A:$B,2,0)</f>
        <v>REPUESTOS NOE S.A DE C.V.</v>
      </c>
      <c r="M438" s="10">
        <v>0</v>
      </c>
      <c r="N438" s="7" t="s">
        <v>2</v>
      </c>
      <c r="O438" s="7" t="s">
        <v>2</v>
      </c>
      <c r="P438" s="10">
        <v>210</v>
      </c>
      <c r="Q438" s="29" t="s">
        <v>2</v>
      </c>
      <c r="R438" s="32" t="s">
        <v>2</v>
      </c>
      <c r="S438" s="32" t="s">
        <v>2</v>
      </c>
      <c r="T438" s="29">
        <f t="shared" si="69"/>
        <v>27.3</v>
      </c>
      <c r="U438" s="28">
        <f t="shared" si="70"/>
        <v>237.3</v>
      </c>
      <c r="V438" s="4" t="s">
        <v>3</v>
      </c>
      <c r="X438" s="3">
        <f t="shared" si="71"/>
        <v>27.3</v>
      </c>
    </row>
    <row r="439" spans="1:24" hidden="1" x14ac:dyDescent="0.25">
      <c r="A439" s="7" t="s">
        <v>843</v>
      </c>
      <c r="B439" s="4" t="s">
        <v>861</v>
      </c>
      <c r="C439" s="5" t="str">
        <f t="shared" si="66"/>
        <v>09</v>
      </c>
      <c r="D439" s="5" t="str">
        <f t="shared" si="67"/>
        <v>06</v>
      </c>
      <c r="E439" s="4" t="s">
        <v>30</v>
      </c>
      <c r="F439" s="4" t="s">
        <v>31</v>
      </c>
      <c r="G439" s="8" t="str">
        <f t="shared" si="68"/>
        <v>09/06/2021</v>
      </c>
      <c r="H439" s="4" t="s">
        <v>1</v>
      </c>
      <c r="I439" s="4" t="s">
        <v>0</v>
      </c>
      <c r="J439" s="7" t="s">
        <v>966</v>
      </c>
      <c r="K439" s="7" t="s">
        <v>172</v>
      </c>
      <c r="L439" s="9" t="str">
        <f>+VLOOKUP(K439,'[1]BASE DE PROVEEDORES'!$A:$B,2,0)</f>
        <v>MANEJO INTEGRAL DE DESECHOS SOLIDOS SEM DE C.V.</v>
      </c>
      <c r="M439" s="10">
        <v>0</v>
      </c>
      <c r="N439" s="7" t="s">
        <v>2</v>
      </c>
      <c r="O439" s="7" t="s">
        <v>2</v>
      </c>
      <c r="P439" s="10">
        <v>57.84</v>
      </c>
      <c r="Q439" s="29" t="s">
        <v>2</v>
      </c>
      <c r="R439" s="32" t="s">
        <v>2</v>
      </c>
      <c r="S439" s="32" t="s">
        <v>2</v>
      </c>
      <c r="T439" s="29">
        <f t="shared" si="69"/>
        <v>7.5192000000000005</v>
      </c>
      <c r="U439" s="28">
        <f t="shared" si="70"/>
        <v>65.359200000000001</v>
      </c>
      <c r="V439" s="4" t="s">
        <v>3</v>
      </c>
      <c r="X439" s="3">
        <f t="shared" si="71"/>
        <v>7.52</v>
      </c>
    </row>
    <row r="440" spans="1:24" hidden="1" x14ac:dyDescent="0.25">
      <c r="A440" s="7" t="s">
        <v>843</v>
      </c>
      <c r="B440" s="4" t="s">
        <v>861</v>
      </c>
      <c r="C440" s="5" t="str">
        <f t="shared" si="66"/>
        <v>09</v>
      </c>
      <c r="D440" s="5" t="str">
        <f t="shared" si="67"/>
        <v>06</v>
      </c>
      <c r="E440" s="4" t="s">
        <v>30</v>
      </c>
      <c r="F440" s="4" t="s">
        <v>31</v>
      </c>
      <c r="G440" s="8" t="str">
        <f t="shared" si="68"/>
        <v>09/06/2021</v>
      </c>
      <c r="H440" s="4" t="s">
        <v>1</v>
      </c>
      <c r="I440" s="4" t="s">
        <v>0</v>
      </c>
      <c r="J440" s="7" t="s">
        <v>975</v>
      </c>
      <c r="K440" s="7" t="s">
        <v>172</v>
      </c>
      <c r="L440" s="9" t="str">
        <f>+VLOOKUP(K440,'[1]BASE DE PROVEEDORES'!$A:$B,2,0)</f>
        <v>MANEJO INTEGRAL DE DESECHOS SOLIDOS SEM DE C.V.</v>
      </c>
      <c r="M440" s="10">
        <v>0</v>
      </c>
      <c r="N440" s="7" t="s">
        <v>2</v>
      </c>
      <c r="O440" s="7" t="s">
        <v>2</v>
      </c>
      <c r="P440" s="10">
        <v>79.459999999999994</v>
      </c>
      <c r="Q440" s="29" t="s">
        <v>2</v>
      </c>
      <c r="R440" s="32" t="s">
        <v>2</v>
      </c>
      <c r="S440" s="32" t="s">
        <v>2</v>
      </c>
      <c r="T440" s="29">
        <f t="shared" si="69"/>
        <v>10.329799999999999</v>
      </c>
      <c r="U440" s="28">
        <f t="shared" si="70"/>
        <v>89.789799999999985</v>
      </c>
      <c r="V440" s="4" t="s">
        <v>3</v>
      </c>
      <c r="X440" s="3">
        <f t="shared" si="71"/>
        <v>10.33</v>
      </c>
    </row>
    <row r="441" spans="1:24" hidden="1" x14ac:dyDescent="0.25">
      <c r="A441" s="7" t="s">
        <v>843</v>
      </c>
      <c r="B441" s="4" t="s">
        <v>863</v>
      </c>
      <c r="C441" s="5" t="str">
        <f t="shared" si="66"/>
        <v>10</v>
      </c>
      <c r="D441" s="5" t="str">
        <f t="shared" si="67"/>
        <v>06</v>
      </c>
      <c r="E441" s="4" t="s">
        <v>30</v>
      </c>
      <c r="F441" s="4" t="s">
        <v>31</v>
      </c>
      <c r="G441" s="8" t="str">
        <f t="shared" si="68"/>
        <v>10/06/2021</v>
      </c>
      <c r="H441" s="4" t="s">
        <v>1</v>
      </c>
      <c r="I441" s="4" t="s">
        <v>0</v>
      </c>
      <c r="J441" s="7" t="s">
        <v>864</v>
      </c>
      <c r="K441" s="7" t="s">
        <v>45</v>
      </c>
      <c r="L441" s="9" t="str">
        <f>+VLOOKUP(K441,'[1]BASE DE PROVEEDORES'!$A:$B,2,0)</f>
        <v>JOSE RICARDO ANTONIO MOLINA</v>
      </c>
      <c r="M441" s="10">
        <f>6.26+3.13</f>
        <v>9.39</v>
      </c>
      <c r="N441" s="7" t="s">
        <v>2</v>
      </c>
      <c r="O441" s="7" t="s">
        <v>2</v>
      </c>
      <c r="P441" s="10">
        <v>77.59</v>
      </c>
      <c r="Q441" s="29" t="s">
        <v>2</v>
      </c>
      <c r="R441" s="32" t="s">
        <v>2</v>
      </c>
      <c r="S441" s="32" t="s">
        <v>2</v>
      </c>
      <c r="T441" s="29">
        <f t="shared" si="69"/>
        <v>10.0867</v>
      </c>
      <c r="U441" s="28">
        <f t="shared" si="70"/>
        <v>97.066699999999997</v>
      </c>
      <c r="V441" s="4" t="s">
        <v>3</v>
      </c>
      <c r="X441" s="3">
        <f t="shared" si="71"/>
        <v>10.09</v>
      </c>
    </row>
    <row r="442" spans="1:24" hidden="1" x14ac:dyDescent="0.25">
      <c r="A442" s="7" t="s">
        <v>843</v>
      </c>
      <c r="B442" s="4" t="s">
        <v>863</v>
      </c>
      <c r="C442" s="5" t="str">
        <f t="shared" si="66"/>
        <v>10</v>
      </c>
      <c r="D442" s="5" t="str">
        <f t="shared" si="67"/>
        <v>06</v>
      </c>
      <c r="E442" s="4" t="s">
        <v>30</v>
      </c>
      <c r="F442" s="4" t="s">
        <v>31</v>
      </c>
      <c r="G442" s="8" t="str">
        <f t="shared" si="68"/>
        <v>10/06/2021</v>
      </c>
      <c r="H442" s="4" t="s">
        <v>1</v>
      </c>
      <c r="I442" s="4" t="s">
        <v>0</v>
      </c>
      <c r="J442" s="7" t="s">
        <v>916</v>
      </c>
      <c r="K442" s="7" t="s">
        <v>28</v>
      </c>
      <c r="L442" s="9" t="str">
        <f>+VLOOKUP(K442,'[1]BASE DE PROVEEDORES'!$A:$B,2,0)</f>
        <v xml:space="preserve">ACTIVIDADES PETROLERAS DE EL SALVADOR S.A DE C.V </v>
      </c>
      <c r="M442" s="10">
        <v>8.9</v>
      </c>
      <c r="N442" s="7" t="s">
        <v>2</v>
      </c>
      <c r="O442" s="7" t="s">
        <v>2</v>
      </c>
      <c r="P442" s="10">
        <v>73.540000000000006</v>
      </c>
      <c r="Q442" s="29" t="s">
        <v>2</v>
      </c>
      <c r="R442" s="32" t="s">
        <v>2</v>
      </c>
      <c r="S442" s="32" t="s">
        <v>2</v>
      </c>
      <c r="T442" s="29">
        <f t="shared" si="69"/>
        <v>9.5602000000000018</v>
      </c>
      <c r="U442" s="28">
        <f t="shared" si="70"/>
        <v>92.000200000000007</v>
      </c>
      <c r="V442" s="4" t="s">
        <v>3</v>
      </c>
      <c r="X442" s="3">
        <f t="shared" si="71"/>
        <v>9.56</v>
      </c>
    </row>
    <row r="443" spans="1:24" hidden="1" x14ac:dyDescent="0.25">
      <c r="A443" s="7" t="s">
        <v>843</v>
      </c>
      <c r="B443" s="4" t="s">
        <v>863</v>
      </c>
      <c r="C443" s="5" t="str">
        <f t="shared" si="66"/>
        <v>10</v>
      </c>
      <c r="D443" s="5" t="str">
        <f t="shared" si="67"/>
        <v>06</v>
      </c>
      <c r="E443" s="4" t="s">
        <v>30</v>
      </c>
      <c r="F443" s="4" t="s">
        <v>31</v>
      </c>
      <c r="G443" s="8" t="str">
        <f t="shared" si="68"/>
        <v>10/06/2021</v>
      </c>
      <c r="H443" s="4" t="s">
        <v>1</v>
      </c>
      <c r="I443" s="4" t="s">
        <v>0</v>
      </c>
      <c r="J443" s="7" t="s">
        <v>947</v>
      </c>
      <c r="K443" s="7" t="s">
        <v>797</v>
      </c>
      <c r="L443" s="9" t="str">
        <f>+VLOOKUP(K443,'[1]BASE DE PROVEEDORES'!$A:$B,2,0)</f>
        <v>FERRETERIA LA PALMA S.A DE C.V.</v>
      </c>
      <c r="M443" s="10">
        <v>0</v>
      </c>
      <c r="N443" s="7" t="s">
        <v>2</v>
      </c>
      <c r="O443" s="7" t="s">
        <v>2</v>
      </c>
      <c r="P443" s="10">
        <v>8.18</v>
      </c>
      <c r="Q443" s="29" t="s">
        <v>2</v>
      </c>
      <c r="R443" s="32" t="s">
        <v>2</v>
      </c>
      <c r="S443" s="32" t="s">
        <v>2</v>
      </c>
      <c r="T443" s="29">
        <f t="shared" si="69"/>
        <v>1.0633999999999999</v>
      </c>
      <c r="U443" s="28">
        <f t="shared" si="70"/>
        <v>9.2433999999999994</v>
      </c>
      <c r="V443" s="4" t="s">
        <v>3</v>
      </c>
      <c r="X443" s="3">
        <f t="shared" si="71"/>
        <v>1.06</v>
      </c>
    </row>
    <row r="444" spans="1:24" hidden="1" x14ac:dyDescent="0.25">
      <c r="A444" s="7" t="s">
        <v>843</v>
      </c>
      <c r="B444" s="4" t="s">
        <v>863</v>
      </c>
      <c r="C444" s="5" t="str">
        <f t="shared" si="66"/>
        <v>10</v>
      </c>
      <c r="D444" s="5" t="str">
        <f t="shared" si="67"/>
        <v>06</v>
      </c>
      <c r="E444" s="4" t="s">
        <v>30</v>
      </c>
      <c r="F444" s="4" t="s">
        <v>31</v>
      </c>
      <c r="G444" s="8" t="str">
        <f t="shared" si="68"/>
        <v>10/06/2021</v>
      </c>
      <c r="H444" s="4" t="s">
        <v>1</v>
      </c>
      <c r="I444" s="4" t="s">
        <v>0</v>
      </c>
      <c r="J444" s="7" t="s">
        <v>961</v>
      </c>
      <c r="K444" s="7" t="s">
        <v>132</v>
      </c>
      <c r="L444" s="9" t="str">
        <f>+VLOOKUP(K444,'[1]BASE DE PROVEEDORES'!$A:$B,2,0)</f>
        <v>ALEXANDER ANTONIO CORNEJO</v>
      </c>
      <c r="M444" s="10">
        <v>0</v>
      </c>
      <c r="N444" s="7" t="s">
        <v>2</v>
      </c>
      <c r="O444" s="7" t="s">
        <v>2</v>
      </c>
      <c r="P444" s="10">
        <v>176.99</v>
      </c>
      <c r="Q444" s="29" t="s">
        <v>2</v>
      </c>
      <c r="R444" s="32" t="s">
        <v>2</v>
      </c>
      <c r="S444" s="32" t="s">
        <v>2</v>
      </c>
      <c r="T444" s="29">
        <f t="shared" si="69"/>
        <v>23.008700000000001</v>
      </c>
      <c r="U444" s="28">
        <f t="shared" si="70"/>
        <v>199.99870000000001</v>
      </c>
      <c r="V444" s="4" t="s">
        <v>3</v>
      </c>
      <c r="X444" s="3">
        <f t="shared" si="71"/>
        <v>23.01</v>
      </c>
    </row>
    <row r="445" spans="1:24" hidden="1" x14ac:dyDescent="0.25">
      <c r="A445" s="7" t="s">
        <v>843</v>
      </c>
      <c r="B445" s="4" t="s">
        <v>863</v>
      </c>
      <c r="C445" s="5" t="str">
        <f t="shared" si="66"/>
        <v>10</v>
      </c>
      <c r="D445" s="5" t="str">
        <f t="shared" si="67"/>
        <v>06</v>
      </c>
      <c r="E445" s="4" t="s">
        <v>30</v>
      </c>
      <c r="F445" s="4" t="s">
        <v>31</v>
      </c>
      <c r="G445" s="8" t="str">
        <f t="shared" si="68"/>
        <v>10/06/2021</v>
      </c>
      <c r="H445" s="4" t="s">
        <v>1</v>
      </c>
      <c r="I445" s="4" t="s">
        <v>0</v>
      </c>
      <c r="J445" s="7" t="s">
        <v>976</v>
      </c>
      <c r="K445" s="7" t="s">
        <v>172</v>
      </c>
      <c r="L445" s="9" t="str">
        <f>+VLOOKUP(K445,'[1]BASE DE PROVEEDORES'!$A:$B,2,0)</f>
        <v>MANEJO INTEGRAL DE DESECHOS SOLIDOS SEM DE C.V.</v>
      </c>
      <c r="M445" s="10">
        <v>0</v>
      </c>
      <c r="N445" s="7" t="s">
        <v>2</v>
      </c>
      <c r="O445" s="7" t="s">
        <v>2</v>
      </c>
      <c r="P445" s="10">
        <v>39.869999999999997</v>
      </c>
      <c r="Q445" s="29" t="s">
        <v>2</v>
      </c>
      <c r="R445" s="32" t="s">
        <v>2</v>
      </c>
      <c r="S445" s="32" t="s">
        <v>2</v>
      </c>
      <c r="T445" s="29">
        <f t="shared" si="69"/>
        <v>5.1830999999999996</v>
      </c>
      <c r="U445" s="28">
        <f t="shared" si="70"/>
        <v>45.053100000000001</v>
      </c>
      <c r="V445" s="4" t="s">
        <v>3</v>
      </c>
      <c r="X445" s="3">
        <f t="shared" si="71"/>
        <v>5.18</v>
      </c>
    </row>
    <row r="446" spans="1:24" hidden="1" x14ac:dyDescent="0.25">
      <c r="A446" s="7" t="s">
        <v>843</v>
      </c>
      <c r="B446" s="4" t="s">
        <v>865</v>
      </c>
      <c r="C446" s="5" t="str">
        <f t="shared" si="66"/>
        <v>11</v>
      </c>
      <c r="D446" s="5" t="str">
        <f t="shared" si="67"/>
        <v>06</v>
      </c>
      <c r="E446" s="4" t="s">
        <v>30</v>
      </c>
      <c r="F446" s="4" t="s">
        <v>31</v>
      </c>
      <c r="G446" s="8" t="str">
        <f t="shared" si="68"/>
        <v>11/06/2021</v>
      </c>
      <c r="H446" s="4" t="s">
        <v>1</v>
      </c>
      <c r="I446" s="4" t="s">
        <v>0</v>
      </c>
      <c r="J446" s="7" t="s">
        <v>866</v>
      </c>
      <c r="K446" s="7" t="s">
        <v>45</v>
      </c>
      <c r="L446" s="9" t="str">
        <f>+VLOOKUP(K446,'[1]BASE DE PROVEEDORES'!$A:$B,2,0)</f>
        <v>JOSE RICARDO ANTONIO MOLINA</v>
      </c>
      <c r="M446" s="10">
        <f>1.29+0.65</f>
        <v>1.94</v>
      </c>
      <c r="N446" s="7" t="s">
        <v>2</v>
      </c>
      <c r="O446" s="7" t="s">
        <v>2</v>
      </c>
      <c r="P446" s="10">
        <v>15.99</v>
      </c>
      <c r="Q446" s="29" t="s">
        <v>2</v>
      </c>
      <c r="R446" s="32" t="s">
        <v>2</v>
      </c>
      <c r="S446" s="32" t="s">
        <v>2</v>
      </c>
      <c r="T446" s="29">
        <f t="shared" si="69"/>
        <v>2.0787</v>
      </c>
      <c r="U446" s="28">
        <f t="shared" si="70"/>
        <v>20.008700000000001</v>
      </c>
      <c r="V446" s="4" t="s">
        <v>3</v>
      </c>
      <c r="X446" s="3">
        <f t="shared" si="71"/>
        <v>2.08</v>
      </c>
    </row>
    <row r="447" spans="1:24" hidden="1" x14ac:dyDescent="0.25">
      <c r="A447" s="7" t="s">
        <v>843</v>
      </c>
      <c r="B447" s="4" t="s">
        <v>865</v>
      </c>
      <c r="C447" s="5" t="str">
        <f t="shared" si="66"/>
        <v>11</v>
      </c>
      <c r="D447" s="5" t="str">
        <f t="shared" si="67"/>
        <v>06</v>
      </c>
      <c r="E447" s="4" t="s">
        <v>30</v>
      </c>
      <c r="F447" s="4" t="s">
        <v>31</v>
      </c>
      <c r="G447" s="8" t="str">
        <f t="shared" si="68"/>
        <v>11/06/2021</v>
      </c>
      <c r="H447" s="4" t="s">
        <v>1</v>
      </c>
      <c r="I447" s="4" t="s">
        <v>0</v>
      </c>
      <c r="J447" s="7" t="s">
        <v>915</v>
      </c>
      <c r="K447" s="7" t="s">
        <v>28</v>
      </c>
      <c r="L447" s="9" t="str">
        <f>+VLOOKUP(K447,'[1]BASE DE PROVEEDORES'!$A:$B,2,0)</f>
        <v xml:space="preserve">ACTIVIDADES PETROLERAS DE EL SALVADOR S.A DE C.V </v>
      </c>
      <c r="M447" s="10">
        <f>1.42+0.71</f>
        <v>2.13</v>
      </c>
      <c r="N447" s="7" t="s">
        <v>2</v>
      </c>
      <c r="O447" s="7" t="s">
        <v>2</v>
      </c>
      <c r="P447" s="10">
        <v>17.59</v>
      </c>
      <c r="Q447" s="29" t="s">
        <v>2</v>
      </c>
      <c r="R447" s="32" t="s">
        <v>2</v>
      </c>
      <c r="S447" s="32" t="s">
        <v>2</v>
      </c>
      <c r="T447" s="29">
        <f t="shared" si="69"/>
        <v>2.2867000000000002</v>
      </c>
      <c r="U447" s="28">
        <f t="shared" si="70"/>
        <v>22.006699999999999</v>
      </c>
      <c r="V447" s="4" t="s">
        <v>3</v>
      </c>
      <c r="X447" s="3">
        <f t="shared" si="71"/>
        <v>2.29</v>
      </c>
    </row>
    <row r="448" spans="1:24" hidden="1" x14ac:dyDescent="0.25">
      <c r="A448" s="7" t="s">
        <v>843</v>
      </c>
      <c r="B448" s="4" t="s">
        <v>865</v>
      </c>
      <c r="C448" s="5" t="str">
        <f t="shared" si="66"/>
        <v>11</v>
      </c>
      <c r="D448" s="5" t="str">
        <f t="shared" si="67"/>
        <v>06</v>
      </c>
      <c r="E448" s="4" t="s">
        <v>30</v>
      </c>
      <c r="F448" s="4" t="s">
        <v>31</v>
      </c>
      <c r="G448" s="8" t="str">
        <f t="shared" si="68"/>
        <v>11/06/2021</v>
      </c>
      <c r="H448" s="4" t="s">
        <v>1</v>
      </c>
      <c r="I448" s="4" t="s">
        <v>0</v>
      </c>
      <c r="J448" s="7" t="s">
        <v>959</v>
      </c>
      <c r="K448" s="7" t="s">
        <v>797</v>
      </c>
      <c r="L448" s="9" t="str">
        <f>+VLOOKUP(K448,'[1]BASE DE PROVEEDORES'!$A:$B,2,0)</f>
        <v>FERRETERIA LA PALMA S.A DE C.V.</v>
      </c>
      <c r="M448" s="10">
        <v>0</v>
      </c>
      <c r="N448" s="7" t="s">
        <v>2</v>
      </c>
      <c r="O448" s="7" t="s">
        <v>2</v>
      </c>
      <c r="P448" s="10">
        <v>1.49</v>
      </c>
      <c r="Q448" s="29" t="s">
        <v>2</v>
      </c>
      <c r="R448" s="32" t="s">
        <v>2</v>
      </c>
      <c r="S448" s="32" t="s">
        <v>2</v>
      </c>
      <c r="T448" s="29">
        <f t="shared" si="69"/>
        <v>0.19370000000000001</v>
      </c>
      <c r="U448" s="28">
        <f t="shared" si="70"/>
        <v>1.6837</v>
      </c>
      <c r="V448" s="4" t="s">
        <v>3</v>
      </c>
      <c r="X448" s="3">
        <f t="shared" si="71"/>
        <v>0.19</v>
      </c>
    </row>
    <row r="449" spans="1:24" hidden="1" x14ac:dyDescent="0.25">
      <c r="A449" s="7" t="s">
        <v>843</v>
      </c>
      <c r="B449" s="4" t="s">
        <v>865</v>
      </c>
      <c r="C449" s="5" t="str">
        <f t="shared" ref="C449:C480" si="72">+LEFT(B449,2)</f>
        <v>11</v>
      </c>
      <c r="D449" s="5" t="str">
        <f t="shared" ref="D449:D480" si="73">+RIGHT(B449,2)</f>
        <v>06</v>
      </c>
      <c r="E449" s="4" t="s">
        <v>30</v>
      </c>
      <c r="F449" s="4" t="s">
        <v>31</v>
      </c>
      <c r="G449" s="8" t="str">
        <f t="shared" ref="G449:G480" si="74">+C449&amp;F449&amp;D449&amp;F449&amp;E449</f>
        <v>11/06/2021</v>
      </c>
      <c r="H449" s="4" t="s">
        <v>1</v>
      </c>
      <c r="I449" s="4" t="s">
        <v>0</v>
      </c>
      <c r="J449" s="7" t="s">
        <v>967</v>
      </c>
      <c r="K449" s="7" t="s">
        <v>172</v>
      </c>
      <c r="L449" s="9" t="str">
        <f>+VLOOKUP(K449,'[1]BASE DE PROVEEDORES'!$A:$B,2,0)</f>
        <v>MANEJO INTEGRAL DE DESECHOS SOLIDOS SEM DE C.V.</v>
      </c>
      <c r="M449" s="10">
        <v>0</v>
      </c>
      <c r="N449" s="7" t="s">
        <v>2</v>
      </c>
      <c r="O449" s="7" t="s">
        <v>2</v>
      </c>
      <c r="P449" s="10">
        <v>28.08</v>
      </c>
      <c r="Q449" s="29" t="s">
        <v>2</v>
      </c>
      <c r="R449" s="32" t="s">
        <v>2</v>
      </c>
      <c r="S449" s="32" t="s">
        <v>2</v>
      </c>
      <c r="T449" s="29">
        <f t="shared" ref="T449:T480" si="75">+P449*0.13</f>
        <v>3.6503999999999999</v>
      </c>
      <c r="U449" s="28">
        <f t="shared" ref="U449:U480" si="76">+M449+P449+T449</f>
        <v>31.730399999999999</v>
      </c>
      <c r="V449" s="4" t="s">
        <v>3</v>
      </c>
      <c r="X449" s="3">
        <f t="shared" si="71"/>
        <v>3.65</v>
      </c>
    </row>
    <row r="450" spans="1:24" hidden="1" x14ac:dyDescent="0.25">
      <c r="A450" s="7" t="s">
        <v>843</v>
      </c>
      <c r="B450" s="4" t="s">
        <v>865</v>
      </c>
      <c r="C450" s="5" t="str">
        <f t="shared" si="72"/>
        <v>11</v>
      </c>
      <c r="D450" s="5" t="str">
        <f t="shared" si="73"/>
        <v>06</v>
      </c>
      <c r="E450" s="4" t="s">
        <v>30</v>
      </c>
      <c r="F450" s="4" t="s">
        <v>31</v>
      </c>
      <c r="G450" s="8" t="str">
        <f t="shared" si="74"/>
        <v>11/06/2021</v>
      </c>
      <c r="H450" s="4" t="s">
        <v>1</v>
      </c>
      <c r="I450" s="4" t="s">
        <v>0</v>
      </c>
      <c r="J450" s="7" t="s">
        <v>1003</v>
      </c>
      <c r="K450" s="7" t="s">
        <v>172</v>
      </c>
      <c r="L450" s="9" t="str">
        <f>+VLOOKUP(K450,'[1]BASE DE PROVEEDORES'!$A:$B,2,0)</f>
        <v>MANEJO INTEGRAL DE DESECHOS SOLIDOS SEM DE C.V.</v>
      </c>
      <c r="M450" s="10">
        <v>0</v>
      </c>
      <c r="N450" s="7" t="s">
        <v>2</v>
      </c>
      <c r="O450" s="7" t="s">
        <v>2</v>
      </c>
      <c r="P450" s="10">
        <v>169.88</v>
      </c>
      <c r="Q450" s="29" t="s">
        <v>2</v>
      </c>
      <c r="R450" s="32" t="s">
        <v>2</v>
      </c>
      <c r="S450" s="32" t="s">
        <v>2</v>
      </c>
      <c r="T450" s="29">
        <f t="shared" si="75"/>
        <v>22.084399999999999</v>
      </c>
      <c r="U450" s="28">
        <f t="shared" si="76"/>
        <v>191.96439999999998</v>
      </c>
      <c r="V450" s="4" t="s">
        <v>3</v>
      </c>
    </row>
    <row r="451" spans="1:24" hidden="1" x14ac:dyDescent="0.25">
      <c r="A451" s="7" t="s">
        <v>843</v>
      </c>
      <c r="B451" s="4" t="s">
        <v>867</v>
      </c>
      <c r="C451" s="5" t="str">
        <f t="shared" si="72"/>
        <v>12</v>
      </c>
      <c r="D451" s="5" t="str">
        <f t="shared" si="73"/>
        <v>06</v>
      </c>
      <c r="E451" s="4" t="s">
        <v>30</v>
      </c>
      <c r="F451" s="4" t="s">
        <v>31</v>
      </c>
      <c r="G451" s="8" t="str">
        <f t="shared" si="74"/>
        <v>12/06/2021</v>
      </c>
      <c r="H451" s="4" t="s">
        <v>1</v>
      </c>
      <c r="I451" s="4" t="s">
        <v>0</v>
      </c>
      <c r="J451" s="7" t="s">
        <v>868</v>
      </c>
      <c r="K451" s="7" t="s">
        <v>45</v>
      </c>
      <c r="L451" s="9" t="str">
        <f>+VLOOKUP(K451,'[1]BASE DE PROVEEDORES'!$A:$B,2,0)</f>
        <v>JOSE RICARDO ANTONIO MOLINA</v>
      </c>
      <c r="M451" s="10">
        <f>1.81+0.9</f>
        <v>2.71</v>
      </c>
      <c r="N451" s="7" t="s">
        <v>2</v>
      </c>
      <c r="O451" s="7" t="s">
        <v>2</v>
      </c>
      <c r="P451" s="10">
        <v>22.38</v>
      </c>
      <c r="Q451" s="29" t="s">
        <v>2</v>
      </c>
      <c r="R451" s="32" t="s">
        <v>2</v>
      </c>
      <c r="S451" s="32" t="s">
        <v>2</v>
      </c>
      <c r="T451" s="29">
        <f t="shared" si="75"/>
        <v>2.9093999999999998</v>
      </c>
      <c r="U451" s="28">
        <f t="shared" si="76"/>
        <v>27.999400000000001</v>
      </c>
      <c r="V451" s="4" t="s">
        <v>3</v>
      </c>
      <c r="X451" s="3">
        <f t="shared" ref="X451:X457" si="77">+ROUND(T451,2)</f>
        <v>2.91</v>
      </c>
    </row>
    <row r="452" spans="1:24" hidden="1" x14ac:dyDescent="0.25">
      <c r="A452" s="7" t="s">
        <v>843</v>
      </c>
      <c r="B452" s="4" t="s">
        <v>867</v>
      </c>
      <c r="C452" s="5" t="str">
        <f t="shared" si="72"/>
        <v>12</v>
      </c>
      <c r="D452" s="5" t="str">
        <f t="shared" si="73"/>
        <v>06</v>
      </c>
      <c r="E452" s="4" t="s">
        <v>30</v>
      </c>
      <c r="F452" s="4" t="s">
        <v>31</v>
      </c>
      <c r="G452" s="8" t="str">
        <f t="shared" si="74"/>
        <v>12/06/2021</v>
      </c>
      <c r="H452" s="4" t="s">
        <v>1</v>
      </c>
      <c r="I452" s="4" t="s">
        <v>0</v>
      </c>
      <c r="J452" s="7" t="s">
        <v>869</v>
      </c>
      <c r="K452" s="7" t="s">
        <v>45</v>
      </c>
      <c r="L452" s="9" t="str">
        <f>+VLOOKUP(K452,'[1]BASE DE PROVEEDORES'!$A:$B,2,0)</f>
        <v>JOSE RICARDO ANTONIO MOLINA</v>
      </c>
      <c r="M452" s="10">
        <f>7.14+3.57</f>
        <v>10.709999999999999</v>
      </c>
      <c r="N452" s="7" t="s">
        <v>2</v>
      </c>
      <c r="O452" s="7" t="s">
        <v>2</v>
      </c>
      <c r="P452" s="10">
        <v>88.52</v>
      </c>
      <c r="Q452" s="29" t="s">
        <v>2</v>
      </c>
      <c r="R452" s="32" t="s">
        <v>2</v>
      </c>
      <c r="S452" s="32" t="s">
        <v>2</v>
      </c>
      <c r="T452" s="29">
        <f t="shared" si="75"/>
        <v>11.5076</v>
      </c>
      <c r="U452" s="28">
        <f t="shared" si="76"/>
        <v>110.73759999999999</v>
      </c>
      <c r="V452" s="4" t="s">
        <v>3</v>
      </c>
      <c r="X452" s="3">
        <f t="shared" si="77"/>
        <v>11.51</v>
      </c>
    </row>
    <row r="453" spans="1:24" hidden="1" x14ac:dyDescent="0.25">
      <c r="A453" s="7" t="s">
        <v>843</v>
      </c>
      <c r="B453" s="4" t="s">
        <v>867</v>
      </c>
      <c r="C453" s="5" t="str">
        <f t="shared" si="72"/>
        <v>12</v>
      </c>
      <c r="D453" s="5" t="str">
        <f t="shared" si="73"/>
        <v>06</v>
      </c>
      <c r="E453" s="4" t="s">
        <v>30</v>
      </c>
      <c r="F453" s="4" t="s">
        <v>31</v>
      </c>
      <c r="G453" s="8" t="str">
        <f t="shared" si="74"/>
        <v>12/06/2021</v>
      </c>
      <c r="H453" s="4" t="s">
        <v>1</v>
      </c>
      <c r="I453" s="4" t="s">
        <v>0</v>
      </c>
      <c r="J453" s="7" t="s">
        <v>913</v>
      </c>
      <c r="K453" s="7" t="s">
        <v>28</v>
      </c>
      <c r="L453" s="9" t="str">
        <f>+VLOOKUP(K453,'[1]BASE DE PROVEEDORES'!$A:$B,2,0)</f>
        <v xml:space="preserve">ACTIVIDADES PETROLERAS DE EL SALVADOR S.A DE C.V </v>
      </c>
      <c r="M453" s="10">
        <f>1.63+0.81</f>
        <v>2.44</v>
      </c>
      <c r="N453" s="7" t="s">
        <v>2</v>
      </c>
      <c r="O453" s="7" t="s">
        <v>2</v>
      </c>
      <c r="P453" s="10">
        <v>23.5</v>
      </c>
      <c r="Q453" s="29" t="s">
        <v>2</v>
      </c>
      <c r="R453" s="32" t="s">
        <v>2</v>
      </c>
      <c r="S453" s="32" t="s">
        <v>2</v>
      </c>
      <c r="T453" s="29">
        <f t="shared" si="75"/>
        <v>3.0550000000000002</v>
      </c>
      <c r="U453" s="28">
        <f t="shared" si="76"/>
        <v>28.995000000000001</v>
      </c>
      <c r="V453" s="4" t="s">
        <v>3</v>
      </c>
      <c r="X453" s="3">
        <f t="shared" si="77"/>
        <v>3.06</v>
      </c>
    </row>
    <row r="454" spans="1:24" hidden="1" x14ac:dyDescent="0.25">
      <c r="A454" s="7" t="s">
        <v>843</v>
      </c>
      <c r="B454" s="4" t="s">
        <v>867</v>
      </c>
      <c r="C454" s="5" t="str">
        <f t="shared" si="72"/>
        <v>12</v>
      </c>
      <c r="D454" s="5" t="str">
        <f t="shared" si="73"/>
        <v>06</v>
      </c>
      <c r="E454" s="4" t="s">
        <v>30</v>
      </c>
      <c r="F454" s="4" t="s">
        <v>31</v>
      </c>
      <c r="G454" s="8" t="str">
        <f t="shared" si="74"/>
        <v>12/06/2021</v>
      </c>
      <c r="H454" s="4" t="s">
        <v>1</v>
      </c>
      <c r="I454" s="4" t="s">
        <v>0</v>
      </c>
      <c r="J454" s="7" t="s">
        <v>914</v>
      </c>
      <c r="K454" s="7" t="s">
        <v>28</v>
      </c>
      <c r="L454" s="9" t="str">
        <f>+VLOOKUP(K454,'[1]BASE DE PROVEEDORES'!$A:$B,2,0)</f>
        <v xml:space="preserve">ACTIVIDADES PETROLERAS DE EL SALVADOR S.A DE C.V </v>
      </c>
      <c r="M454" s="10">
        <v>3.48</v>
      </c>
      <c r="N454" s="7" t="s">
        <v>2</v>
      </c>
      <c r="O454" s="7" t="s">
        <v>2</v>
      </c>
      <c r="P454" s="10">
        <v>28.68</v>
      </c>
      <c r="Q454" s="29" t="s">
        <v>2</v>
      </c>
      <c r="R454" s="32" t="s">
        <v>2</v>
      </c>
      <c r="S454" s="32" t="s">
        <v>2</v>
      </c>
      <c r="T454" s="29">
        <f t="shared" si="75"/>
        <v>3.7284000000000002</v>
      </c>
      <c r="U454" s="28">
        <f t="shared" si="76"/>
        <v>35.888399999999997</v>
      </c>
      <c r="V454" s="4" t="s">
        <v>3</v>
      </c>
      <c r="X454" s="3">
        <f t="shared" si="77"/>
        <v>3.73</v>
      </c>
    </row>
    <row r="455" spans="1:24" hidden="1" x14ac:dyDescent="0.25">
      <c r="A455" s="7" t="s">
        <v>843</v>
      </c>
      <c r="B455" s="4" t="s">
        <v>867</v>
      </c>
      <c r="C455" s="5" t="str">
        <f t="shared" si="72"/>
        <v>12</v>
      </c>
      <c r="D455" s="5" t="str">
        <f t="shared" si="73"/>
        <v>06</v>
      </c>
      <c r="E455" s="4" t="s">
        <v>30</v>
      </c>
      <c r="F455" s="4" t="s">
        <v>31</v>
      </c>
      <c r="G455" s="8" t="str">
        <f t="shared" si="74"/>
        <v>12/06/2021</v>
      </c>
      <c r="H455" s="4" t="s">
        <v>1</v>
      </c>
      <c r="I455" s="4" t="s">
        <v>0</v>
      </c>
      <c r="J455" s="7" t="s">
        <v>942</v>
      </c>
      <c r="K455" s="7" t="s">
        <v>126</v>
      </c>
      <c r="L455" s="9" t="str">
        <f>+VLOOKUP(K455,'[1]BASE DE PROVEEDORES'!$A:$B,2,0)</f>
        <v>REPUESTOS IZALCO S.A DE C.V.</v>
      </c>
      <c r="M455" s="10">
        <v>0</v>
      </c>
      <c r="N455" s="7" t="s">
        <v>2</v>
      </c>
      <c r="O455" s="7" t="s">
        <v>2</v>
      </c>
      <c r="P455" s="10">
        <v>145.80000000000001</v>
      </c>
      <c r="Q455" s="29" t="s">
        <v>2</v>
      </c>
      <c r="R455" s="32" t="s">
        <v>2</v>
      </c>
      <c r="S455" s="32" t="s">
        <v>2</v>
      </c>
      <c r="T455" s="29">
        <f t="shared" si="75"/>
        <v>18.954000000000001</v>
      </c>
      <c r="U455" s="28">
        <f t="shared" si="76"/>
        <v>164.75400000000002</v>
      </c>
      <c r="V455" s="4" t="s">
        <v>3</v>
      </c>
      <c r="X455" s="3">
        <f t="shared" si="77"/>
        <v>18.95</v>
      </c>
    </row>
    <row r="456" spans="1:24" hidden="1" x14ac:dyDescent="0.25">
      <c r="A456" s="7" t="s">
        <v>843</v>
      </c>
      <c r="B456" s="4" t="s">
        <v>867</v>
      </c>
      <c r="C456" s="5" t="str">
        <f t="shared" si="72"/>
        <v>12</v>
      </c>
      <c r="D456" s="5" t="str">
        <f t="shared" si="73"/>
        <v>06</v>
      </c>
      <c r="E456" s="4" t="s">
        <v>30</v>
      </c>
      <c r="F456" s="4" t="s">
        <v>31</v>
      </c>
      <c r="G456" s="8" t="str">
        <f t="shared" si="74"/>
        <v>12/06/2021</v>
      </c>
      <c r="H456" s="4" t="s">
        <v>1</v>
      </c>
      <c r="I456" s="4" t="s">
        <v>0</v>
      </c>
      <c r="J456" s="7" t="s">
        <v>948</v>
      </c>
      <c r="K456" s="7" t="s">
        <v>151</v>
      </c>
      <c r="L456" s="9" t="str">
        <f>+VLOOKUP(K456,'[1]BASE DE PROVEEDORES'!$A:$B,2,0)</f>
        <v>REPUESTOS NOE S.A DE C.V.</v>
      </c>
      <c r="M456" s="10">
        <v>0</v>
      </c>
      <c r="N456" s="7" t="s">
        <v>2</v>
      </c>
      <c r="O456" s="7" t="s">
        <v>2</v>
      </c>
      <c r="P456" s="10">
        <v>120</v>
      </c>
      <c r="Q456" s="29" t="s">
        <v>2</v>
      </c>
      <c r="R456" s="32" t="s">
        <v>2</v>
      </c>
      <c r="S456" s="32" t="s">
        <v>2</v>
      </c>
      <c r="T456" s="29">
        <f t="shared" si="75"/>
        <v>15.600000000000001</v>
      </c>
      <c r="U456" s="28">
        <f t="shared" si="76"/>
        <v>135.6</v>
      </c>
      <c r="V456" s="4" t="s">
        <v>3</v>
      </c>
      <c r="X456" s="3">
        <f t="shared" si="77"/>
        <v>15.6</v>
      </c>
    </row>
    <row r="457" spans="1:24" hidden="1" x14ac:dyDescent="0.25">
      <c r="A457" s="7" t="s">
        <v>843</v>
      </c>
      <c r="B457" s="4" t="s">
        <v>867</v>
      </c>
      <c r="C457" s="5" t="str">
        <f t="shared" si="72"/>
        <v>12</v>
      </c>
      <c r="D457" s="5" t="str">
        <f t="shared" si="73"/>
        <v>06</v>
      </c>
      <c r="E457" s="4" t="s">
        <v>30</v>
      </c>
      <c r="F457" s="4" t="s">
        <v>31</v>
      </c>
      <c r="G457" s="8" t="str">
        <f t="shared" si="74"/>
        <v>12/06/2021</v>
      </c>
      <c r="H457" s="4" t="s">
        <v>1</v>
      </c>
      <c r="I457" s="4" t="s">
        <v>0</v>
      </c>
      <c r="J457" s="7" t="s">
        <v>977</v>
      </c>
      <c r="K457" s="7" t="s">
        <v>172</v>
      </c>
      <c r="L457" s="9" t="str">
        <f>+VLOOKUP(K457,'[1]BASE DE PROVEEDORES'!$A:$B,2,0)</f>
        <v>MANEJO INTEGRAL DE DESECHOS SOLIDOS SEM DE C.V.</v>
      </c>
      <c r="M457" s="10">
        <v>0</v>
      </c>
      <c r="N457" s="7" t="s">
        <v>2</v>
      </c>
      <c r="O457" s="7" t="s">
        <v>2</v>
      </c>
      <c r="P457" s="10">
        <v>53.07</v>
      </c>
      <c r="Q457" s="29" t="s">
        <v>2</v>
      </c>
      <c r="R457" s="32" t="s">
        <v>2</v>
      </c>
      <c r="S457" s="32" t="s">
        <v>2</v>
      </c>
      <c r="T457" s="29">
        <f t="shared" si="75"/>
        <v>6.8991000000000007</v>
      </c>
      <c r="U457" s="28">
        <f t="shared" si="76"/>
        <v>59.969099999999997</v>
      </c>
      <c r="V457" s="4" t="s">
        <v>3</v>
      </c>
      <c r="X457" s="3">
        <f t="shared" si="77"/>
        <v>6.9</v>
      </c>
    </row>
    <row r="458" spans="1:24" hidden="1" x14ac:dyDescent="0.25">
      <c r="A458" s="7" t="s">
        <v>843</v>
      </c>
      <c r="B458" s="4" t="s">
        <v>867</v>
      </c>
      <c r="C458" s="5" t="str">
        <f t="shared" si="72"/>
        <v>12</v>
      </c>
      <c r="D458" s="5" t="str">
        <f t="shared" si="73"/>
        <v>06</v>
      </c>
      <c r="E458" s="4" t="s">
        <v>30</v>
      </c>
      <c r="F458" s="4" t="s">
        <v>31</v>
      </c>
      <c r="G458" s="8" t="str">
        <f t="shared" si="74"/>
        <v>12/06/2021</v>
      </c>
      <c r="H458" s="4" t="s">
        <v>1</v>
      </c>
      <c r="I458" s="4" t="s">
        <v>0</v>
      </c>
      <c r="J458" s="7" t="s">
        <v>991</v>
      </c>
      <c r="K458" s="7" t="s">
        <v>172</v>
      </c>
      <c r="L458" s="9" t="str">
        <f>+VLOOKUP(K458,'[1]BASE DE PROVEEDORES'!$A:$B,2,0)</f>
        <v>MANEJO INTEGRAL DE DESECHOS SOLIDOS SEM DE C.V.</v>
      </c>
      <c r="M458" s="10">
        <v>0</v>
      </c>
      <c r="N458" s="7" t="s">
        <v>2</v>
      </c>
      <c r="O458" s="7" t="s">
        <v>2</v>
      </c>
      <c r="P458" s="10">
        <v>56.26</v>
      </c>
      <c r="Q458" s="29" t="s">
        <v>2</v>
      </c>
      <c r="R458" s="32" t="s">
        <v>2</v>
      </c>
      <c r="S458" s="32" t="s">
        <v>2</v>
      </c>
      <c r="T458" s="29">
        <f t="shared" si="75"/>
        <v>7.3137999999999996</v>
      </c>
      <c r="U458" s="28">
        <f t="shared" si="76"/>
        <v>63.573799999999999</v>
      </c>
      <c r="V458" s="4" t="s">
        <v>3</v>
      </c>
    </row>
    <row r="459" spans="1:24" hidden="1" x14ac:dyDescent="0.25">
      <c r="A459" s="7" t="s">
        <v>843</v>
      </c>
      <c r="B459" s="4" t="s">
        <v>867</v>
      </c>
      <c r="C459" s="5" t="str">
        <f t="shared" si="72"/>
        <v>12</v>
      </c>
      <c r="D459" s="5" t="str">
        <f t="shared" si="73"/>
        <v>06</v>
      </c>
      <c r="E459" s="4" t="s">
        <v>30</v>
      </c>
      <c r="F459" s="4" t="s">
        <v>31</v>
      </c>
      <c r="G459" s="8" t="str">
        <f t="shared" si="74"/>
        <v>12/06/2021</v>
      </c>
      <c r="H459" s="4" t="s">
        <v>1</v>
      </c>
      <c r="I459" s="4" t="s">
        <v>0</v>
      </c>
      <c r="J459" s="7" t="s">
        <v>994</v>
      </c>
      <c r="K459" s="7" t="s">
        <v>172</v>
      </c>
      <c r="L459" s="9" t="str">
        <f>+VLOOKUP(K459,'[1]BASE DE PROVEEDORES'!$A:$B,2,0)</f>
        <v>MANEJO INTEGRAL DE DESECHOS SOLIDOS SEM DE C.V.</v>
      </c>
      <c r="M459" s="10">
        <v>0</v>
      </c>
      <c r="N459" s="7" t="s">
        <v>2</v>
      </c>
      <c r="O459" s="7" t="s">
        <v>2</v>
      </c>
      <c r="P459" s="10">
        <v>56.26</v>
      </c>
      <c r="Q459" s="29" t="s">
        <v>2</v>
      </c>
      <c r="R459" s="32" t="s">
        <v>2</v>
      </c>
      <c r="S459" s="32" t="s">
        <v>2</v>
      </c>
      <c r="T459" s="29">
        <f t="shared" si="75"/>
        <v>7.3137999999999996</v>
      </c>
      <c r="U459" s="28">
        <f t="shared" si="76"/>
        <v>63.573799999999999</v>
      </c>
      <c r="V459" s="4" t="s">
        <v>3</v>
      </c>
    </row>
    <row r="460" spans="1:24" hidden="1" x14ac:dyDescent="0.25">
      <c r="A460" s="7" t="s">
        <v>843</v>
      </c>
      <c r="B460" s="4" t="s">
        <v>870</v>
      </c>
      <c r="C460" s="5" t="str">
        <f t="shared" si="72"/>
        <v>13</v>
      </c>
      <c r="D460" s="5" t="str">
        <f t="shared" si="73"/>
        <v>06</v>
      </c>
      <c r="E460" s="4" t="s">
        <v>30</v>
      </c>
      <c r="F460" s="4" t="s">
        <v>31</v>
      </c>
      <c r="G460" s="8" t="str">
        <f t="shared" si="74"/>
        <v>13/06/2021</v>
      </c>
      <c r="H460" s="4" t="s">
        <v>1</v>
      </c>
      <c r="I460" s="4" t="s">
        <v>0</v>
      </c>
      <c r="J460" s="7" t="s">
        <v>871</v>
      </c>
      <c r="K460" s="7" t="s">
        <v>45</v>
      </c>
      <c r="L460" s="9" t="str">
        <f>+VLOOKUP(K460,'[1]BASE DE PROVEEDORES'!$A:$B,2,0)</f>
        <v>JOSE RICARDO ANTONIO MOLINA</v>
      </c>
      <c r="M460" s="10">
        <f>6.52+3.26</f>
        <v>9.7799999999999994</v>
      </c>
      <c r="N460" s="7" t="s">
        <v>2</v>
      </c>
      <c r="O460" s="7" t="s">
        <v>2</v>
      </c>
      <c r="P460" s="10">
        <v>80.739999999999995</v>
      </c>
      <c r="Q460" s="29" t="s">
        <v>2</v>
      </c>
      <c r="R460" s="32" t="s">
        <v>2</v>
      </c>
      <c r="S460" s="32" t="s">
        <v>2</v>
      </c>
      <c r="T460" s="29">
        <f t="shared" si="75"/>
        <v>10.4962</v>
      </c>
      <c r="U460" s="28">
        <f t="shared" si="76"/>
        <v>101.0162</v>
      </c>
      <c r="V460" s="4" t="s">
        <v>3</v>
      </c>
      <c r="X460" s="3">
        <f>+ROUND(T460,2)</f>
        <v>10.5</v>
      </c>
    </row>
    <row r="461" spans="1:24" hidden="1" x14ac:dyDescent="0.25">
      <c r="A461" s="7" t="s">
        <v>843</v>
      </c>
      <c r="B461" s="4" t="s">
        <v>872</v>
      </c>
      <c r="C461" s="5" t="str">
        <f t="shared" si="72"/>
        <v>14</v>
      </c>
      <c r="D461" s="5" t="str">
        <f t="shared" si="73"/>
        <v>06</v>
      </c>
      <c r="E461" s="4" t="s">
        <v>30</v>
      </c>
      <c r="F461" s="4" t="s">
        <v>31</v>
      </c>
      <c r="G461" s="8" t="str">
        <f t="shared" si="74"/>
        <v>14/06/2021</v>
      </c>
      <c r="H461" s="4" t="s">
        <v>1</v>
      </c>
      <c r="I461" s="4" t="s">
        <v>0</v>
      </c>
      <c r="J461" s="7" t="s">
        <v>873</v>
      </c>
      <c r="K461" s="7" t="s">
        <v>45</v>
      </c>
      <c r="L461" s="9" t="str">
        <f>+VLOOKUP(K461,'[1]BASE DE PROVEEDORES'!$A:$B,2,0)</f>
        <v>JOSE RICARDO ANTONIO MOLINA</v>
      </c>
      <c r="M461" s="10">
        <f>1.58+0.79</f>
        <v>2.37</v>
      </c>
      <c r="N461" s="7" t="s">
        <v>2</v>
      </c>
      <c r="O461" s="7" t="s">
        <v>2</v>
      </c>
      <c r="P461" s="10">
        <v>19.579999999999998</v>
      </c>
      <c r="Q461" s="29" t="s">
        <v>2</v>
      </c>
      <c r="R461" s="32" t="s">
        <v>2</v>
      </c>
      <c r="S461" s="32" t="s">
        <v>2</v>
      </c>
      <c r="T461" s="29">
        <f t="shared" si="75"/>
        <v>2.5453999999999999</v>
      </c>
      <c r="U461" s="28">
        <f t="shared" si="76"/>
        <v>24.4954</v>
      </c>
      <c r="V461" s="4" t="s">
        <v>3</v>
      </c>
      <c r="X461" s="3">
        <f>+ROUND(T461,2)</f>
        <v>2.5499999999999998</v>
      </c>
    </row>
    <row r="462" spans="1:24" hidden="1" x14ac:dyDescent="0.25">
      <c r="A462" s="7" t="s">
        <v>843</v>
      </c>
      <c r="B462" s="4" t="s">
        <v>872</v>
      </c>
      <c r="C462" s="5" t="str">
        <f t="shared" si="72"/>
        <v>14</v>
      </c>
      <c r="D462" s="5" t="str">
        <f t="shared" si="73"/>
        <v>06</v>
      </c>
      <c r="E462" s="4" t="s">
        <v>30</v>
      </c>
      <c r="F462" s="4" t="s">
        <v>31</v>
      </c>
      <c r="G462" s="8" t="str">
        <f t="shared" si="74"/>
        <v>14/06/2021</v>
      </c>
      <c r="H462" s="4" t="s">
        <v>1</v>
      </c>
      <c r="I462" s="4" t="s">
        <v>0</v>
      </c>
      <c r="J462" s="7" t="s">
        <v>912</v>
      </c>
      <c r="K462" s="7" t="s">
        <v>28</v>
      </c>
      <c r="L462" s="9" t="str">
        <f>+VLOOKUP(K462,'[1]BASE DE PROVEEDORES'!$A:$B,2,0)</f>
        <v xml:space="preserve">ACTIVIDADES PETROLERAS DE EL SALVADOR S.A DE C.V </v>
      </c>
      <c r="M462" s="10">
        <v>1.58</v>
      </c>
      <c r="N462" s="7" t="s">
        <v>2</v>
      </c>
      <c r="O462" s="7" t="s">
        <v>2</v>
      </c>
      <c r="P462" s="10">
        <v>13.05</v>
      </c>
      <c r="Q462" s="29" t="s">
        <v>2</v>
      </c>
      <c r="R462" s="32" t="s">
        <v>2</v>
      </c>
      <c r="S462" s="32" t="s">
        <v>2</v>
      </c>
      <c r="T462" s="29">
        <f t="shared" si="75"/>
        <v>1.6965000000000001</v>
      </c>
      <c r="U462" s="28">
        <f t="shared" si="76"/>
        <v>16.326499999999999</v>
      </c>
      <c r="V462" s="4" t="s">
        <v>3</v>
      </c>
      <c r="X462" s="3">
        <f>+ROUND(T462,2)</f>
        <v>1.7</v>
      </c>
    </row>
    <row r="463" spans="1:24" hidden="1" x14ac:dyDescent="0.25">
      <c r="A463" s="7" t="s">
        <v>843</v>
      </c>
      <c r="B463" s="4" t="s">
        <v>872</v>
      </c>
      <c r="C463" s="5" t="str">
        <f t="shared" si="72"/>
        <v>14</v>
      </c>
      <c r="D463" s="5" t="str">
        <f t="shared" si="73"/>
        <v>06</v>
      </c>
      <c r="E463" s="4" t="s">
        <v>30</v>
      </c>
      <c r="F463" s="4" t="s">
        <v>31</v>
      </c>
      <c r="G463" s="8" t="str">
        <f t="shared" si="74"/>
        <v>14/06/2021</v>
      </c>
      <c r="H463" s="4" t="s">
        <v>1</v>
      </c>
      <c r="I463" s="4" t="s">
        <v>0</v>
      </c>
      <c r="J463" s="7" t="s">
        <v>941</v>
      </c>
      <c r="K463" s="7" t="s">
        <v>582</v>
      </c>
      <c r="L463" s="9" t="str">
        <f>+VLOOKUP(K463,'[1]BASE DE PROVEEDORES'!$A:$B,2,0)</f>
        <v>IMPRESSA S.A DE C.V.</v>
      </c>
      <c r="M463" s="10">
        <v>0</v>
      </c>
      <c r="N463" s="7" t="s">
        <v>2</v>
      </c>
      <c r="O463" s="7" t="s">
        <v>2</v>
      </c>
      <c r="P463" s="10">
        <v>19.5</v>
      </c>
      <c r="Q463" s="29" t="s">
        <v>2</v>
      </c>
      <c r="R463" s="32" t="s">
        <v>2</v>
      </c>
      <c r="S463" s="32" t="s">
        <v>2</v>
      </c>
      <c r="T463" s="29">
        <f t="shared" si="75"/>
        <v>2.5350000000000001</v>
      </c>
      <c r="U463" s="28">
        <f t="shared" si="76"/>
        <v>22.035</v>
      </c>
      <c r="V463" s="4" t="s">
        <v>3</v>
      </c>
      <c r="X463" s="3">
        <f>+ROUND(T463,2)</f>
        <v>2.54</v>
      </c>
    </row>
    <row r="464" spans="1:24" hidden="1" x14ac:dyDescent="0.25">
      <c r="A464" s="7" t="s">
        <v>843</v>
      </c>
      <c r="B464" s="4" t="s">
        <v>872</v>
      </c>
      <c r="C464" s="5" t="str">
        <f t="shared" si="72"/>
        <v>14</v>
      </c>
      <c r="D464" s="5" t="str">
        <f t="shared" si="73"/>
        <v>06</v>
      </c>
      <c r="E464" s="4" t="s">
        <v>30</v>
      </c>
      <c r="F464" s="4" t="s">
        <v>31</v>
      </c>
      <c r="G464" s="8" t="str">
        <f t="shared" si="74"/>
        <v>14/06/2021</v>
      </c>
      <c r="H464" s="4" t="s">
        <v>1</v>
      </c>
      <c r="I464" s="4" t="s">
        <v>0</v>
      </c>
      <c r="J464" s="7" t="s">
        <v>960</v>
      </c>
      <c r="K464" s="7" t="s">
        <v>930</v>
      </c>
      <c r="L464" s="9" t="str">
        <f>+VLOOKUP(K464,'[1]BASE DE PROVEEDORES'!$A:$B,2,0)</f>
        <v>FREDY GUILLERMO CACERES RAFAELANO</v>
      </c>
      <c r="M464" s="10">
        <v>0</v>
      </c>
      <c r="N464" s="7" t="s">
        <v>2</v>
      </c>
      <c r="O464" s="7" t="s">
        <v>2</v>
      </c>
      <c r="P464" s="10">
        <v>90</v>
      </c>
      <c r="Q464" s="29" t="s">
        <v>2</v>
      </c>
      <c r="R464" s="32" t="s">
        <v>2</v>
      </c>
      <c r="S464" s="32" t="s">
        <v>2</v>
      </c>
      <c r="T464" s="29">
        <f t="shared" si="75"/>
        <v>11.700000000000001</v>
      </c>
      <c r="U464" s="28">
        <f t="shared" si="76"/>
        <v>101.7</v>
      </c>
      <c r="V464" s="4" t="s">
        <v>3</v>
      </c>
      <c r="X464" s="3">
        <f>+ROUND(T464,2)</f>
        <v>11.7</v>
      </c>
    </row>
    <row r="465" spans="1:24" hidden="1" x14ac:dyDescent="0.25">
      <c r="A465" s="7" t="s">
        <v>843</v>
      </c>
      <c r="B465" s="4" t="s">
        <v>872</v>
      </c>
      <c r="C465" s="5" t="str">
        <f t="shared" si="72"/>
        <v>14</v>
      </c>
      <c r="D465" s="5" t="str">
        <f t="shared" si="73"/>
        <v>06</v>
      </c>
      <c r="E465" s="4" t="s">
        <v>30</v>
      </c>
      <c r="F465" s="4" t="s">
        <v>31</v>
      </c>
      <c r="G465" s="8" t="str">
        <f t="shared" si="74"/>
        <v>14/06/2021</v>
      </c>
      <c r="H465" s="4" t="s">
        <v>1</v>
      </c>
      <c r="I465" s="4" t="s">
        <v>0</v>
      </c>
      <c r="J465" s="7" t="s">
        <v>986</v>
      </c>
      <c r="K465" s="7" t="s">
        <v>172</v>
      </c>
      <c r="L465" s="9" t="str">
        <f>+VLOOKUP(K465,'[1]BASE DE PROVEEDORES'!$A:$B,2,0)</f>
        <v>MANEJO INTEGRAL DE DESECHOS SOLIDOS SEM DE C.V.</v>
      </c>
      <c r="M465" s="10">
        <v>0</v>
      </c>
      <c r="N465" s="7" t="s">
        <v>2</v>
      </c>
      <c r="O465" s="7" t="s">
        <v>2</v>
      </c>
      <c r="P465" s="10">
        <v>59.07</v>
      </c>
      <c r="Q465" s="29" t="s">
        <v>2</v>
      </c>
      <c r="R465" s="32" t="s">
        <v>2</v>
      </c>
      <c r="S465" s="32" t="s">
        <v>2</v>
      </c>
      <c r="T465" s="29">
        <f t="shared" si="75"/>
        <v>7.6791</v>
      </c>
      <c r="U465" s="28">
        <f t="shared" si="76"/>
        <v>66.749099999999999</v>
      </c>
      <c r="V465" s="4" t="s">
        <v>3</v>
      </c>
    </row>
    <row r="466" spans="1:24" hidden="1" x14ac:dyDescent="0.25">
      <c r="A466" s="7" t="s">
        <v>843</v>
      </c>
      <c r="B466" s="4" t="s">
        <v>872</v>
      </c>
      <c r="C466" s="5" t="str">
        <f t="shared" si="72"/>
        <v>14</v>
      </c>
      <c r="D466" s="5" t="str">
        <f t="shared" si="73"/>
        <v>06</v>
      </c>
      <c r="E466" s="4" t="s">
        <v>30</v>
      </c>
      <c r="F466" s="4" t="s">
        <v>31</v>
      </c>
      <c r="G466" s="8" t="str">
        <f t="shared" si="74"/>
        <v>14/06/2021</v>
      </c>
      <c r="H466" s="4" t="s">
        <v>1</v>
      </c>
      <c r="I466" s="4" t="s">
        <v>0</v>
      </c>
      <c r="J466" s="7" t="s">
        <v>995</v>
      </c>
      <c r="K466" s="7" t="s">
        <v>172</v>
      </c>
      <c r="L466" s="9" t="str">
        <f>+VLOOKUP(K466,'[1]BASE DE PROVEEDORES'!$A:$B,2,0)</f>
        <v>MANEJO INTEGRAL DE DESECHOS SOLIDOS SEM DE C.V.</v>
      </c>
      <c r="M466" s="10">
        <v>0</v>
      </c>
      <c r="N466" s="7" t="s">
        <v>2</v>
      </c>
      <c r="O466" s="7" t="s">
        <v>2</v>
      </c>
      <c r="P466" s="10">
        <v>56.26</v>
      </c>
      <c r="Q466" s="29" t="s">
        <v>2</v>
      </c>
      <c r="R466" s="32" t="s">
        <v>2</v>
      </c>
      <c r="S466" s="32" t="s">
        <v>2</v>
      </c>
      <c r="T466" s="29">
        <f t="shared" si="75"/>
        <v>7.3137999999999996</v>
      </c>
      <c r="U466" s="28">
        <f t="shared" si="76"/>
        <v>63.573799999999999</v>
      </c>
      <c r="V466" s="4" t="s">
        <v>3</v>
      </c>
    </row>
    <row r="467" spans="1:24" hidden="1" x14ac:dyDescent="0.25">
      <c r="A467" s="7" t="s">
        <v>843</v>
      </c>
      <c r="B467" s="4" t="s">
        <v>844</v>
      </c>
      <c r="C467" s="5" t="str">
        <f t="shared" si="72"/>
        <v>15</v>
      </c>
      <c r="D467" s="5" t="str">
        <f t="shared" si="73"/>
        <v>06</v>
      </c>
      <c r="E467" s="4" t="s">
        <v>30</v>
      </c>
      <c r="F467" s="4" t="s">
        <v>31</v>
      </c>
      <c r="G467" s="8" t="str">
        <f t="shared" si="74"/>
        <v>15/06/2021</v>
      </c>
      <c r="H467" s="4" t="s">
        <v>1</v>
      </c>
      <c r="I467" s="4" t="s">
        <v>0</v>
      </c>
      <c r="J467" s="7" t="s">
        <v>845</v>
      </c>
      <c r="K467" s="7" t="s">
        <v>140</v>
      </c>
      <c r="L467" s="9" t="str">
        <f>+VLOOKUP(K467,'[1]BASE DE PROVEEDORES'!$A:$B,2,0)</f>
        <v>TALLERES SOLDATOR S.A DE C.V.</v>
      </c>
      <c r="M467" s="10">
        <v>0</v>
      </c>
      <c r="N467" s="7" t="s">
        <v>2</v>
      </c>
      <c r="O467" s="7" t="s">
        <v>2</v>
      </c>
      <c r="P467" s="10">
        <v>120</v>
      </c>
      <c r="Q467" s="29" t="s">
        <v>2</v>
      </c>
      <c r="R467" s="32" t="s">
        <v>2</v>
      </c>
      <c r="S467" s="32" t="s">
        <v>2</v>
      </c>
      <c r="T467" s="29">
        <f t="shared" si="75"/>
        <v>15.600000000000001</v>
      </c>
      <c r="U467" s="28">
        <f t="shared" si="76"/>
        <v>135.6</v>
      </c>
      <c r="V467" s="4" t="s">
        <v>3</v>
      </c>
      <c r="X467" s="3">
        <f t="shared" ref="X467:X479" si="78">+ROUND(T467,2)</f>
        <v>15.6</v>
      </c>
    </row>
    <row r="468" spans="1:24" hidden="1" x14ac:dyDescent="0.25">
      <c r="A468" s="7" t="s">
        <v>843</v>
      </c>
      <c r="B468" s="4" t="s">
        <v>844</v>
      </c>
      <c r="C468" s="5" t="str">
        <f t="shared" si="72"/>
        <v>15</v>
      </c>
      <c r="D468" s="5" t="str">
        <f t="shared" si="73"/>
        <v>06</v>
      </c>
      <c r="E468" s="4" t="s">
        <v>30</v>
      </c>
      <c r="F468" s="4" t="s">
        <v>31</v>
      </c>
      <c r="G468" s="8" t="str">
        <f t="shared" si="74"/>
        <v>15/06/2021</v>
      </c>
      <c r="H468" s="4" t="s">
        <v>1</v>
      </c>
      <c r="I468" s="4" t="s">
        <v>0</v>
      </c>
      <c r="J468" s="7" t="s">
        <v>874</v>
      </c>
      <c r="K468" s="7" t="s">
        <v>45</v>
      </c>
      <c r="L468" s="9" t="str">
        <f>+VLOOKUP(K468,'[1]BASE DE PROVEEDORES'!$A:$B,2,0)</f>
        <v>JOSE RICARDO ANTONIO MOLINA</v>
      </c>
      <c r="M468" s="10">
        <f>7.89+3.94</f>
        <v>11.83</v>
      </c>
      <c r="N468" s="7" t="s">
        <v>2</v>
      </c>
      <c r="O468" s="7" t="s">
        <v>2</v>
      </c>
      <c r="P468" s="10">
        <v>99.48</v>
      </c>
      <c r="Q468" s="29" t="s">
        <v>2</v>
      </c>
      <c r="R468" s="32" t="s">
        <v>2</v>
      </c>
      <c r="S468" s="32" t="s">
        <v>2</v>
      </c>
      <c r="T468" s="29">
        <f t="shared" si="75"/>
        <v>12.932400000000001</v>
      </c>
      <c r="U468" s="28">
        <f t="shared" si="76"/>
        <v>124.2424</v>
      </c>
      <c r="V468" s="4" t="s">
        <v>3</v>
      </c>
      <c r="X468" s="3">
        <f t="shared" si="78"/>
        <v>12.93</v>
      </c>
    </row>
    <row r="469" spans="1:24" hidden="1" x14ac:dyDescent="0.25">
      <c r="A469" s="7" t="s">
        <v>843</v>
      </c>
      <c r="B469" s="4" t="s">
        <v>844</v>
      </c>
      <c r="C469" s="5" t="str">
        <f t="shared" si="72"/>
        <v>15</v>
      </c>
      <c r="D469" s="5" t="str">
        <f t="shared" si="73"/>
        <v>06</v>
      </c>
      <c r="E469" s="4" t="s">
        <v>30</v>
      </c>
      <c r="F469" s="4" t="s">
        <v>31</v>
      </c>
      <c r="G469" s="8" t="str">
        <f t="shared" si="74"/>
        <v>15/06/2021</v>
      </c>
      <c r="H469" s="4" t="s">
        <v>1</v>
      </c>
      <c r="I469" s="4" t="s">
        <v>0</v>
      </c>
      <c r="J469" s="7" t="s">
        <v>238</v>
      </c>
      <c r="K469" s="7" t="s">
        <v>931</v>
      </c>
      <c r="L469" s="9" t="str">
        <f>+VLOOKUP(K469,'[1]BASE DE PROVEEDORES'!$A:$B,2,0)</f>
        <v>OSCAR HUMBERTO RIVAS INTERIANO</v>
      </c>
      <c r="M469" s="10">
        <v>0</v>
      </c>
      <c r="N469" s="7" t="s">
        <v>2</v>
      </c>
      <c r="O469" s="7" t="s">
        <v>2</v>
      </c>
      <c r="P469" s="10">
        <v>840</v>
      </c>
      <c r="Q469" s="29" t="s">
        <v>2</v>
      </c>
      <c r="R469" s="32" t="s">
        <v>2</v>
      </c>
      <c r="S469" s="32" t="s">
        <v>2</v>
      </c>
      <c r="T469" s="29">
        <f t="shared" si="75"/>
        <v>109.2</v>
      </c>
      <c r="U469" s="28">
        <f t="shared" si="76"/>
        <v>949.2</v>
      </c>
      <c r="V469" s="4" t="s">
        <v>3</v>
      </c>
      <c r="X469" s="3">
        <f t="shared" si="78"/>
        <v>109.2</v>
      </c>
    </row>
    <row r="470" spans="1:24" hidden="1" x14ac:dyDescent="0.25">
      <c r="A470" s="7" t="s">
        <v>843</v>
      </c>
      <c r="B470" s="4" t="s">
        <v>844</v>
      </c>
      <c r="C470" s="5" t="str">
        <f t="shared" si="72"/>
        <v>15</v>
      </c>
      <c r="D470" s="5" t="str">
        <f t="shared" si="73"/>
        <v>06</v>
      </c>
      <c r="E470" s="4" t="s">
        <v>30</v>
      </c>
      <c r="F470" s="4" t="s">
        <v>31</v>
      </c>
      <c r="G470" s="8" t="str">
        <f t="shared" si="74"/>
        <v>15/06/2021</v>
      </c>
      <c r="H470" s="4" t="s">
        <v>1</v>
      </c>
      <c r="I470" s="4" t="s">
        <v>0</v>
      </c>
      <c r="J470" s="7" t="s">
        <v>949</v>
      </c>
      <c r="K470" s="7" t="s">
        <v>151</v>
      </c>
      <c r="L470" s="9" t="str">
        <f>+VLOOKUP(K470,'[1]BASE DE PROVEEDORES'!$A:$B,2,0)</f>
        <v>REPUESTOS NOE S.A DE C.V.</v>
      </c>
      <c r="M470" s="10">
        <v>0</v>
      </c>
      <c r="N470" s="7" t="s">
        <v>2</v>
      </c>
      <c r="O470" s="7" t="s">
        <v>2</v>
      </c>
      <c r="P470" s="10">
        <v>207.1</v>
      </c>
      <c r="Q470" s="29" t="s">
        <v>2</v>
      </c>
      <c r="R470" s="32" t="s">
        <v>2</v>
      </c>
      <c r="S470" s="32" t="s">
        <v>2</v>
      </c>
      <c r="T470" s="29">
        <f t="shared" si="75"/>
        <v>26.923000000000002</v>
      </c>
      <c r="U470" s="28">
        <f t="shared" si="76"/>
        <v>234.023</v>
      </c>
      <c r="V470" s="4" t="s">
        <v>3</v>
      </c>
      <c r="X470" s="3">
        <f t="shared" si="78"/>
        <v>26.92</v>
      </c>
    </row>
    <row r="471" spans="1:24" hidden="1" x14ac:dyDescent="0.25">
      <c r="A471" s="7" t="s">
        <v>843</v>
      </c>
      <c r="B471" s="4" t="s">
        <v>844</v>
      </c>
      <c r="C471" s="5" t="str">
        <f t="shared" si="72"/>
        <v>15</v>
      </c>
      <c r="D471" s="5" t="str">
        <f t="shared" si="73"/>
        <v>06</v>
      </c>
      <c r="E471" s="4" t="s">
        <v>30</v>
      </c>
      <c r="F471" s="4" t="s">
        <v>31</v>
      </c>
      <c r="G471" s="8" t="str">
        <f t="shared" si="74"/>
        <v>15/06/2021</v>
      </c>
      <c r="H471" s="4" t="s">
        <v>1</v>
      </c>
      <c r="I471" s="4" t="s">
        <v>0</v>
      </c>
      <c r="J471" s="7" t="s">
        <v>978</v>
      </c>
      <c r="K471" s="7" t="s">
        <v>172</v>
      </c>
      <c r="L471" s="9" t="str">
        <f>+VLOOKUP(K471,'[1]BASE DE PROVEEDORES'!$A:$B,2,0)</f>
        <v>MANEJO INTEGRAL DE DESECHOS SOLIDOS SEM DE C.V.</v>
      </c>
      <c r="M471" s="10">
        <v>0</v>
      </c>
      <c r="N471" s="7" t="s">
        <v>2</v>
      </c>
      <c r="O471" s="7" t="s">
        <v>2</v>
      </c>
      <c r="P471" s="10">
        <v>59.24</v>
      </c>
      <c r="Q471" s="29" t="s">
        <v>2</v>
      </c>
      <c r="R471" s="32" t="s">
        <v>2</v>
      </c>
      <c r="S471" s="32" t="s">
        <v>2</v>
      </c>
      <c r="T471" s="29">
        <f t="shared" si="75"/>
        <v>7.7012000000000009</v>
      </c>
      <c r="U471" s="28">
        <f t="shared" si="76"/>
        <v>66.941200000000009</v>
      </c>
      <c r="V471" s="4" t="s">
        <v>3</v>
      </c>
      <c r="X471" s="3">
        <f t="shared" si="78"/>
        <v>7.7</v>
      </c>
    </row>
    <row r="472" spans="1:24" hidden="1" x14ac:dyDescent="0.25">
      <c r="A472" s="7" t="s">
        <v>843</v>
      </c>
      <c r="B472" s="4" t="s">
        <v>875</v>
      </c>
      <c r="C472" s="5" t="str">
        <f t="shared" si="72"/>
        <v>16</v>
      </c>
      <c r="D472" s="5" t="str">
        <f t="shared" si="73"/>
        <v>06</v>
      </c>
      <c r="E472" s="4" t="s">
        <v>30</v>
      </c>
      <c r="F472" s="4" t="s">
        <v>31</v>
      </c>
      <c r="G472" s="8" t="str">
        <f t="shared" si="74"/>
        <v>16/06/2021</v>
      </c>
      <c r="H472" s="4" t="s">
        <v>1</v>
      </c>
      <c r="I472" s="4" t="s">
        <v>0</v>
      </c>
      <c r="J472" s="7" t="s">
        <v>876</v>
      </c>
      <c r="K472" s="7" t="s">
        <v>45</v>
      </c>
      <c r="L472" s="9" t="str">
        <f>+VLOOKUP(K472,'[1]BASE DE PROVEEDORES'!$A:$B,2,0)</f>
        <v>JOSE RICARDO ANTONIO MOLINA</v>
      </c>
      <c r="M472" s="10">
        <f>7.33+3.66</f>
        <v>10.99</v>
      </c>
      <c r="N472" s="7" t="s">
        <v>2</v>
      </c>
      <c r="O472" s="7" t="s">
        <v>2</v>
      </c>
      <c r="P472" s="10">
        <v>92.39</v>
      </c>
      <c r="Q472" s="29" t="s">
        <v>2</v>
      </c>
      <c r="R472" s="32" t="s">
        <v>2</v>
      </c>
      <c r="S472" s="32" t="s">
        <v>2</v>
      </c>
      <c r="T472" s="29">
        <f t="shared" si="75"/>
        <v>12.0107</v>
      </c>
      <c r="U472" s="28">
        <f t="shared" si="76"/>
        <v>115.3907</v>
      </c>
      <c r="V472" s="4" t="s">
        <v>3</v>
      </c>
      <c r="X472" s="3">
        <f t="shared" si="78"/>
        <v>12.01</v>
      </c>
    </row>
    <row r="473" spans="1:24" hidden="1" x14ac:dyDescent="0.25">
      <c r="A473" s="7" t="s">
        <v>843</v>
      </c>
      <c r="B473" s="4" t="s">
        <v>875</v>
      </c>
      <c r="C473" s="5" t="str">
        <f t="shared" si="72"/>
        <v>16</v>
      </c>
      <c r="D473" s="5" t="str">
        <f t="shared" si="73"/>
        <v>06</v>
      </c>
      <c r="E473" s="4" t="s">
        <v>30</v>
      </c>
      <c r="F473" s="4" t="s">
        <v>31</v>
      </c>
      <c r="G473" s="8" t="str">
        <f t="shared" si="74"/>
        <v>16/06/2021</v>
      </c>
      <c r="H473" s="4" t="s">
        <v>1</v>
      </c>
      <c r="I473" s="4" t="s">
        <v>0</v>
      </c>
      <c r="J473" s="7" t="s">
        <v>784</v>
      </c>
      <c r="K473" s="7" t="s">
        <v>28</v>
      </c>
      <c r="L473" s="9" t="str">
        <f>+VLOOKUP(K473,'[1]BASE DE PROVEEDORES'!$A:$B,2,0)</f>
        <v xml:space="preserve">ACTIVIDADES PETROLERAS DE EL SALVADOR S.A DE C.V </v>
      </c>
      <c r="M473" s="10">
        <f>2.1+1.05</f>
        <v>3.1500000000000004</v>
      </c>
      <c r="N473" s="7" t="s">
        <v>2</v>
      </c>
      <c r="O473" s="7" t="s">
        <v>2</v>
      </c>
      <c r="P473" s="10">
        <v>26.42</v>
      </c>
      <c r="Q473" s="29" t="s">
        <v>2</v>
      </c>
      <c r="R473" s="32" t="s">
        <v>2</v>
      </c>
      <c r="S473" s="32" t="s">
        <v>2</v>
      </c>
      <c r="T473" s="29">
        <f t="shared" si="75"/>
        <v>3.4346000000000005</v>
      </c>
      <c r="U473" s="28">
        <f t="shared" si="76"/>
        <v>33.004600000000003</v>
      </c>
      <c r="V473" s="4" t="s">
        <v>3</v>
      </c>
      <c r="X473" s="3">
        <f t="shared" si="78"/>
        <v>3.43</v>
      </c>
    </row>
    <row r="474" spans="1:24" hidden="1" x14ac:dyDescent="0.25">
      <c r="A474" s="7" t="s">
        <v>843</v>
      </c>
      <c r="B474" s="4" t="s">
        <v>877</v>
      </c>
      <c r="C474" s="5" t="str">
        <f t="shared" si="72"/>
        <v>17</v>
      </c>
      <c r="D474" s="5" t="str">
        <f t="shared" si="73"/>
        <v>06</v>
      </c>
      <c r="E474" s="4" t="s">
        <v>30</v>
      </c>
      <c r="F474" s="4" t="s">
        <v>31</v>
      </c>
      <c r="G474" s="8" t="str">
        <f t="shared" si="74"/>
        <v>17/06/2021</v>
      </c>
      <c r="H474" s="4" t="s">
        <v>1</v>
      </c>
      <c r="I474" s="4" t="s">
        <v>0</v>
      </c>
      <c r="J474" s="7" t="s">
        <v>878</v>
      </c>
      <c r="K474" s="7" t="s">
        <v>45</v>
      </c>
      <c r="L474" s="9" t="str">
        <f>+VLOOKUP(K474,'[1]BASE DE PROVEEDORES'!$A:$B,2,0)</f>
        <v>JOSE RICARDO ANTONIO MOLINA</v>
      </c>
      <c r="M474" s="10">
        <f>6.48+3.24</f>
        <v>9.7200000000000006</v>
      </c>
      <c r="N474" s="7" t="s">
        <v>2</v>
      </c>
      <c r="O474" s="7" t="s">
        <v>2</v>
      </c>
      <c r="P474" s="10">
        <v>81.77</v>
      </c>
      <c r="Q474" s="29" t="s">
        <v>2</v>
      </c>
      <c r="R474" s="32" t="s">
        <v>2</v>
      </c>
      <c r="S474" s="32" t="s">
        <v>2</v>
      </c>
      <c r="T474" s="29">
        <f t="shared" si="75"/>
        <v>10.630100000000001</v>
      </c>
      <c r="U474" s="28">
        <f t="shared" si="76"/>
        <v>102.12009999999999</v>
      </c>
      <c r="V474" s="4" t="s">
        <v>3</v>
      </c>
      <c r="X474" s="3">
        <f t="shared" si="78"/>
        <v>10.63</v>
      </c>
    </row>
    <row r="475" spans="1:24" hidden="1" x14ac:dyDescent="0.25">
      <c r="A475" s="7" t="s">
        <v>843</v>
      </c>
      <c r="B475" s="4" t="s">
        <v>908</v>
      </c>
      <c r="C475" s="5" t="str">
        <f t="shared" si="72"/>
        <v>18</v>
      </c>
      <c r="D475" s="5" t="str">
        <f t="shared" si="73"/>
        <v>06</v>
      </c>
      <c r="E475" s="4" t="s">
        <v>30</v>
      </c>
      <c r="F475" s="4" t="s">
        <v>31</v>
      </c>
      <c r="G475" s="8" t="str">
        <f t="shared" si="74"/>
        <v>18/06/2021</v>
      </c>
      <c r="H475" s="4" t="s">
        <v>1</v>
      </c>
      <c r="I475" s="4" t="s">
        <v>0</v>
      </c>
      <c r="J475" s="7" t="s">
        <v>909</v>
      </c>
      <c r="K475" s="7" t="s">
        <v>28</v>
      </c>
      <c r="L475" s="9" t="str">
        <f>+VLOOKUP(K475,'[1]BASE DE PROVEEDORES'!$A:$B,2,0)</f>
        <v xml:space="preserve">ACTIVIDADES PETROLERAS DE EL SALVADOR S.A DE C.V </v>
      </c>
      <c r="M475" s="10">
        <f>5.65+2.82</f>
        <v>8.4700000000000006</v>
      </c>
      <c r="N475" s="7" t="s">
        <v>2</v>
      </c>
      <c r="O475" s="7" t="s">
        <v>2</v>
      </c>
      <c r="P475" s="10">
        <v>71.28</v>
      </c>
      <c r="Q475" s="29" t="s">
        <v>2</v>
      </c>
      <c r="R475" s="32" t="s">
        <v>2</v>
      </c>
      <c r="S475" s="32" t="s">
        <v>2</v>
      </c>
      <c r="T475" s="29">
        <f t="shared" si="75"/>
        <v>9.2664000000000009</v>
      </c>
      <c r="U475" s="28">
        <f t="shared" si="76"/>
        <v>89.016400000000004</v>
      </c>
      <c r="V475" s="4" t="s">
        <v>3</v>
      </c>
      <c r="X475" s="3">
        <f t="shared" si="78"/>
        <v>9.27</v>
      </c>
    </row>
    <row r="476" spans="1:24" hidden="1" x14ac:dyDescent="0.25">
      <c r="A476" s="7" t="s">
        <v>843</v>
      </c>
      <c r="B476" s="4" t="s">
        <v>908</v>
      </c>
      <c r="C476" s="5" t="str">
        <f t="shared" si="72"/>
        <v>18</v>
      </c>
      <c r="D476" s="5" t="str">
        <f t="shared" si="73"/>
        <v>06</v>
      </c>
      <c r="E476" s="4" t="s">
        <v>30</v>
      </c>
      <c r="F476" s="4" t="s">
        <v>31</v>
      </c>
      <c r="G476" s="8" t="str">
        <f t="shared" si="74"/>
        <v>18/06/2021</v>
      </c>
      <c r="H476" s="4" t="s">
        <v>1</v>
      </c>
      <c r="I476" s="4" t="s">
        <v>0</v>
      </c>
      <c r="J476" s="7" t="s">
        <v>910</v>
      </c>
      <c r="K476" s="7" t="s">
        <v>28</v>
      </c>
      <c r="L476" s="9" t="str">
        <f>+VLOOKUP(K476,'[1]BASE DE PROVEEDORES'!$A:$B,2,0)</f>
        <v xml:space="preserve">ACTIVIDADES PETROLERAS DE EL SALVADOR S.A DE C.V </v>
      </c>
      <c r="M476" s="10">
        <v>2.85</v>
      </c>
      <c r="N476" s="7" t="s">
        <v>2</v>
      </c>
      <c r="O476" s="7" t="s">
        <v>2</v>
      </c>
      <c r="P476" s="10">
        <v>27.62</v>
      </c>
      <c r="Q476" s="29" t="s">
        <v>2</v>
      </c>
      <c r="R476" s="32" t="s">
        <v>2</v>
      </c>
      <c r="S476" s="32" t="s">
        <v>2</v>
      </c>
      <c r="T476" s="29">
        <f t="shared" si="75"/>
        <v>3.5906000000000002</v>
      </c>
      <c r="U476" s="28">
        <f t="shared" si="76"/>
        <v>34.060600000000001</v>
      </c>
      <c r="V476" s="4" t="s">
        <v>3</v>
      </c>
      <c r="X476" s="3">
        <f t="shared" si="78"/>
        <v>3.59</v>
      </c>
    </row>
    <row r="477" spans="1:24" hidden="1" x14ac:dyDescent="0.25">
      <c r="A477" s="7" t="s">
        <v>843</v>
      </c>
      <c r="B477" s="4" t="s">
        <v>908</v>
      </c>
      <c r="C477" s="5" t="str">
        <f t="shared" si="72"/>
        <v>18</v>
      </c>
      <c r="D477" s="5" t="str">
        <f t="shared" si="73"/>
        <v>06</v>
      </c>
      <c r="E477" s="4" t="s">
        <v>30</v>
      </c>
      <c r="F477" s="4" t="s">
        <v>31</v>
      </c>
      <c r="G477" s="8" t="str">
        <f t="shared" si="74"/>
        <v>18/06/2021</v>
      </c>
      <c r="H477" s="4" t="s">
        <v>1</v>
      </c>
      <c r="I477" s="4" t="s">
        <v>0</v>
      </c>
      <c r="J477" s="7" t="s">
        <v>911</v>
      </c>
      <c r="K477" s="7" t="s">
        <v>28</v>
      </c>
      <c r="L477" s="9" t="str">
        <f>+VLOOKUP(K477,'[1]BASE DE PROVEEDORES'!$A:$B,2,0)</f>
        <v xml:space="preserve">ACTIVIDADES PETROLERAS DE EL SALVADOR S.A DE C.V </v>
      </c>
      <c r="M477" s="10">
        <f>1.27+0.64</f>
        <v>1.9100000000000001</v>
      </c>
      <c r="N477" s="7" t="s">
        <v>2</v>
      </c>
      <c r="O477" s="7" t="s">
        <v>2</v>
      </c>
      <c r="P477" s="10">
        <v>16.010000000000002</v>
      </c>
      <c r="Q477" s="29" t="s">
        <v>2</v>
      </c>
      <c r="R477" s="32" t="s">
        <v>2</v>
      </c>
      <c r="S477" s="32" t="s">
        <v>2</v>
      </c>
      <c r="T477" s="29">
        <f t="shared" si="75"/>
        <v>2.0813000000000001</v>
      </c>
      <c r="U477" s="28">
        <f t="shared" si="76"/>
        <v>20.001300000000001</v>
      </c>
      <c r="V477" s="4" t="s">
        <v>3</v>
      </c>
      <c r="X477" s="3">
        <f t="shared" si="78"/>
        <v>2.08</v>
      </c>
    </row>
    <row r="478" spans="1:24" hidden="1" x14ac:dyDescent="0.25">
      <c r="A478" s="7" t="s">
        <v>843</v>
      </c>
      <c r="B478" s="4" t="s">
        <v>908</v>
      </c>
      <c r="C478" s="5" t="str">
        <f t="shared" si="72"/>
        <v>18</v>
      </c>
      <c r="D478" s="5" t="str">
        <f t="shared" si="73"/>
        <v>06</v>
      </c>
      <c r="E478" s="4" t="s">
        <v>30</v>
      </c>
      <c r="F478" s="4" t="s">
        <v>31</v>
      </c>
      <c r="G478" s="8" t="str">
        <f t="shared" si="74"/>
        <v>18/06/2021</v>
      </c>
      <c r="H478" s="4" t="s">
        <v>1</v>
      </c>
      <c r="I478" s="4" t="s">
        <v>0</v>
      </c>
      <c r="J478" s="7" t="s">
        <v>968</v>
      </c>
      <c r="K478" s="7" t="s">
        <v>172</v>
      </c>
      <c r="L478" s="9" t="str">
        <f>+VLOOKUP(K478,'[1]BASE DE PROVEEDORES'!$A:$B,2,0)</f>
        <v>MANEJO INTEGRAL DE DESECHOS SOLIDOS SEM DE C.V.</v>
      </c>
      <c r="M478" s="10">
        <v>0</v>
      </c>
      <c r="N478" s="7" t="s">
        <v>2</v>
      </c>
      <c r="O478" s="7" t="s">
        <v>2</v>
      </c>
      <c r="P478" s="10">
        <v>48.85</v>
      </c>
      <c r="Q478" s="29" t="s">
        <v>2</v>
      </c>
      <c r="R478" s="32" t="s">
        <v>2</v>
      </c>
      <c r="S478" s="32" t="s">
        <v>2</v>
      </c>
      <c r="T478" s="29">
        <f t="shared" si="75"/>
        <v>6.3505000000000003</v>
      </c>
      <c r="U478" s="28">
        <f t="shared" si="76"/>
        <v>55.200500000000005</v>
      </c>
      <c r="V478" s="4" t="s">
        <v>3</v>
      </c>
      <c r="X478" s="3">
        <f t="shared" si="78"/>
        <v>6.35</v>
      </c>
    </row>
    <row r="479" spans="1:24" hidden="1" x14ac:dyDescent="0.25">
      <c r="A479" s="7" t="s">
        <v>843</v>
      </c>
      <c r="B479" s="4" t="s">
        <v>908</v>
      </c>
      <c r="C479" s="5" t="str">
        <f t="shared" si="72"/>
        <v>18</v>
      </c>
      <c r="D479" s="5" t="str">
        <f t="shared" si="73"/>
        <v>06</v>
      </c>
      <c r="E479" s="4" t="s">
        <v>30</v>
      </c>
      <c r="F479" s="4" t="s">
        <v>31</v>
      </c>
      <c r="G479" s="8" t="str">
        <f t="shared" si="74"/>
        <v>18/06/2021</v>
      </c>
      <c r="H479" s="4" t="s">
        <v>1</v>
      </c>
      <c r="I479" s="4" t="s">
        <v>0</v>
      </c>
      <c r="J479" s="7" t="s">
        <v>979</v>
      </c>
      <c r="K479" s="7" t="s">
        <v>172</v>
      </c>
      <c r="L479" s="9" t="str">
        <f>+VLOOKUP(K479,'[1]BASE DE PROVEEDORES'!$A:$B,2,0)</f>
        <v>MANEJO INTEGRAL DE DESECHOS SOLIDOS SEM DE C.V.</v>
      </c>
      <c r="M479" s="10">
        <v>0</v>
      </c>
      <c r="N479" s="7" t="s">
        <v>2</v>
      </c>
      <c r="O479" s="7" t="s">
        <v>2</v>
      </c>
      <c r="P479" s="10">
        <v>33.590000000000003</v>
      </c>
      <c r="Q479" s="29" t="s">
        <v>2</v>
      </c>
      <c r="R479" s="32" t="s">
        <v>2</v>
      </c>
      <c r="S479" s="32" t="s">
        <v>2</v>
      </c>
      <c r="T479" s="29">
        <f t="shared" si="75"/>
        <v>4.3667000000000007</v>
      </c>
      <c r="U479" s="28">
        <f t="shared" si="76"/>
        <v>37.956700000000005</v>
      </c>
      <c r="V479" s="4" t="s">
        <v>3</v>
      </c>
      <c r="X479" s="3">
        <f t="shared" si="78"/>
        <v>4.37</v>
      </c>
    </row>
    <row r="480" spans="1:24" hidden="1" x14ac:dyDescent="0.25">
      <c r="A480" s="7" t="s">
        <v>843</v>
      </c>
      <c r="B480" s="4" t="s">
        <v>908</v>
      </c>
      <c r="C480" s="5" t="str">
        <f t="shared" si="72"/>
        <v>18</v>
      </c>
      <c r="D480" s="5" t="str">
        <f t="shared" si="73"/>
        <v>06</v>
      </c>
      <c r="E480" s="4" t="s">
        <v>30</v>
      </c>
      <c r="F480" s="4" t="s">
        <v>31</v>
      </c>
      <c r="G480" s="8" t="str">
        <f t="shared" si="74"/>
        <v>18/06/2021</v>
      </c>
      <c r="H480" s="4" t="s">
        <v>1</v>
      </c>
      <c r="I480" s="4" t="s">
        <v>0</v>
      </c>
      <c r="J480" s="7" t="s">
        <v>990</v>
      </c>
      <c r="K480" s="7" t="s">
        <v>172</v>
      </c>
      <c r="L480" s="9" t="str">
        <f>+VLOOKUP(K480,'[1]BASE DE PROVEEDORES'!$A:$B,2,0)</f>
        <v>MANEJO INTEGRAL DE DESECHOS SOLIDOS SEM DE C.V.</v>
      </c>
      <c r="M480" s="10">
        <v>0</v>
      </c>
      <c r="N480" s="7" t="s">
        <v>2</v>
      </c>
      <c r="O480" s="7" t="s">
        <v>2</v>
      </c>
      <c r="P480" s="10">
        <v>74.69</v>
      </c>
      <c r="Q480" s="29" t="s">
        <v>2</v>
      </c>
      <c r="R480" s="32" t="s">
        <v>2</v>
      </c>
      <c r="S480" s="32" t="s">
        <v>2</v>
      </c>
      <c r="T480" s="29">
        <f t="shared" si="75"/>
        <v>9.7096999999999998</v>
      </c>
      <c r="U480" s="28">
        <f t="shared" si="76"/>
        <v>84.399699999999996</v>
      </c>
      <c r="V480" s="4" t="s">
        <v>3</v>
      </c>
    </row>
    <row r="481" spans="1:24" hidden="1" x14ac:dyDescent="0.25">
      <c r="A481" s="7" t="s">
        <v>843</v>
      </c>
      <c r="B481" s="4" t="s">
        <v>908</v>
      </c>
      <c r="C481" s="5" t="str">
        <f t="shared" ref="C481:C512" si="79">+LEFT(B481,2)</f>
        <v>18</v>
      </c>
      <c r="D481" s="5" t="str">
        <f t="shared" ref="D481:D515" si="80">+RIGHT(B481,2)</f>
        <v>06</v>
      </c>
      <c r="E481" s="4" t="s">
        <v>30</v>
      </c>
      <c r="F481" s="4" t="s">
        <v>31</v>
      </c>
      <c r="G481" s="8" t="str">
        <f t="shared" ref="G481:G512" si="81">+C481&amp;F481&amp;D481&amp;F481&amp;E481</f>
        <v>18/06/2021</v>
      </c>
      <c r="H481" s="4" t="s">
        <v>1</v>
      </c>
      <c r="I481" s="4" t="s">
        <v>0</v>
      </c>
      <c r="J481" s="7" t="s">
        <v>996</v>
      </c>
      <c r="K481" s="7" t="s">
        <v>172</v>
      </c>
      <c r="L481" s="9" t="str">
        <f>+VLOOKUP(K481,'[1]BASE DE PROVEEDORES'!$A:$B,2,0)</f>
        <v>MANEJO INTEGRAL DE DESECHOS SOLIDOS SEM DE C.V.</v>
      </c>
      <c r="M481" s="10">
        <v>0</v>
      </c>
      <c r="N481" s="7" t="s">
        <v>2</v>
      </c>
      <c r="O481" s="7" t="s">
        <v>2</v>
      </c>
      <c r="P481" s="10">
        <v>56.26</v>
      </c>
      <c r="Q481" s="29" t="s">
        <v>2</v>
      </c>
      <c r="R481" s="32" t="s">
        <v>2</v>
      </c>
      <c r="S481" s="32" t="s">
        <v>2</v>
      </c>
      <c r="T481" s="29">
        <f t="shared" ref="T481:T515" si="82">+P481*0.13</f>
        <v>7.3137999999999996</v>
      </c>
      <c r="U481" s="28">
        <f t="shared" ref="U481:U512" si="83">+M481+P481+T481</f>
        <v>63.573799999999999</v>
      </c>
      <c r="V481" s="4" t="s">
        <v>3</v>
      </c>
    </row>
    <row r="482" spans="1:24" hidden="1" x14ac:dyDescent="0.25">
      <c r="A482" s="7" t="s">
        <v>843</v>
      </c>
      <c r="B482" s="4" t="s">
        <v>906</v>
      </c>
      <c r="C482" s="5" t="str">
        <f t="shared" si="79"/>
        <v>19</v>
      </c>
      <c r="D482" s="5" t="str">
        <f t="shared" si="80"/>
        <v>06</v>
      </c>
      <c r="E482" s="4" t="s">
        <v>30</v>
      </c>
      <c r="F482" s="4" t="s">
        <v>31</v>
      </c>
      <c r="G482" s="8" t="str">
        <f t="shared" si="81"/>
        <v>19/06/2021</v>
      </c>
      <c r="H482" s="4" t="s">
        <v>1</v>
      </c>
      <c r="I482" s="4" t="s">
        <v>0</v>
      </c>
      <c r="J482" s="7" t="s">
        <v>907</v>
      </c>
      <c r="K482" s="7" t="s">
        <v>28</v>
      </c>
      <c r="L482" s="9" t="str">
        <f>+VLOOKUP(K482,'[1]BASE DE PROVEEDORES'!$A:$B,2,0)</f>
        <v xml:space="preserve">ACTIVIDADES PETROLERAS DE EL SALVADOR S.A DE C.V </v>
      </c>
      <c r="M482" s="10">
        <f>7.38+3.68</f>
        <v>11.06</v>
      </c>
      <c r="N482" s="7" t="s">
        <v>2</v>
      </c>
      <c r="O482" s="7" t="s">
        <v>2</v>
      </c>
      <c r="P482" s="10">
        <v>93</v>
      </c>
      <c r="Q482" s="29" t="s">
        <v>2</v>
      </c>
      <c r="R482" s="32" t="s">
        <v>2</v>
      </c>
      <c r="S482" s="32" t="s">
        <v>2</v>
      </c>
      <c r="T482" s="29">
        <f t="shared" si="82"/>
        <v>12.09</v>
      </c>
      <c r="U482" s="28">
        <f t="shared" si="83"/>
        <v>116.15</v>
      </c>
      <c r="V482" s="4" t="s">
        <v>3</v>
      </c>
      <c r="X482" s="3">
        <f t="shared" ref="X482:X489" si="84">+ROUND(T482,2)</f>
        <v>12.09</v>
      </c>
    </row>
    <row r="483" spans="1:24" hidden="1" x14ac:dyDescent="0.25">
      <c r="A483" s="7" t="s">
        <v>843</v>
      </c>
      <c r="B483" s="4" t="s">
        <v>906</v>
      </c>
      <c r="C483" s="5" t="str">
        <f t="shared" si="79"/>
        <v>19</v>
      </c>
      <c r="D483" s="5" t="str">
        <f t="shared" si="80"/>
        <v>06</v>
      </c>
      <c r="E483" s="4" t="s">
        <v>30</v>
      </c>
      <c r="F483" s="4" t="s">
        <v>31</v>
      </c>
      <c r="G483" s="8" t="str">
        <f t="shared" si="81"/>
        <v>19/06/2021</v>
      </c>
      <c r="H483" s="4" t="s">
        <v>1</v>
      </c>
      <c r="I483" s="4" t="s">
        <v>0</v>
      </c>
      <c r="J483" s="7" t="s">
        <v>980</v>
      </c>
      <c r="K483" s="7" t="s">
        <v>172</v>
      </c>
      <c r="L483" s="9" t="str">
        <f>+VLOOKUP(K483,'[1]BASE DE PROVEEDORES'!$A:$B,2,0)</f>
        <v>MANEJO INTEGRAL DE DESECHOS SOLIDOS SEM DE C.V.</v>
      </c>
      <c r="M483" s="10">
        <v>0</v>
      </c>
      <c r="N483" s="7" t="s">
        <v>2</v>
      </c>
      <c r="O483" s="7" t="s">
        <v>2</v>
      </c>
      <c r="P483" s="10">
        <v>36.5</v>
      </c>
      <c r="Q483" s="29" t="s">
        <v>2</v>
      </c>
      <c r="R483" s="32" t="s">
        <v>2</v>
      </c>
      <c r="S483" s="32" t="s">
        <v>2</v>
      </c>
      <c r="T483" s="29">
        <f t="shared" si="82"/>
        <v>4.7450000000000001</v>
      </c>
      <c r="U483" s="28">
        <f t="shared" si="83"/>
        <v>41.244999999999997</v>
      </c>
      <c r="V483" s="4" t="s">
        <v>3</v>
      </c>
      <c r="X483" s="3">
        <f t="shared" si="84"/>
        <v>4.75</v>
      </c>
    </row>
    <row r="484" spans="1:24" hidden="1" x14ac:dyDescent="0.25">
      <c r="A484" s="7" t="s">
        <v>843</v>
      </c>
      <c r="B484" s="4" t="s">
        <v>879</v>
      </c>
      <c r="C484" s="5" t="str">
        <f t="shared" si="79"/>
        <v>20</v>
      </c>
      <c r="D484" s="5" t="str">
        <f t="shared" si="80"/>
        <v>06</v>
      </c>
      <c r="E484" s="4" t="s">
        <v>30</v>
      </c>
      <c r="F484" s="4" t="s">
        <v>31</v>
      </c>
      <c r="G484" s="8" t="str">
        <f t="shared" si="81"/>
        <v>20/06/2021</v>
      </c>
      <c r="H484" s="4" t="s">
        <v>1</v>
      </c>
      <c r="I484" s="4" t="s">
        <v>0</v>
      </c>
      <c r="J484" s="7" t="s">
        <v>880</v>
      </c>
      <c r="K484" s="7" t="s">
        <v>45</v>
      </c>
      <c r="L484" s="9" t="str">
        <f>+VLOOKUP(K484,'[1]BASE DE PROVEEDORES'!$A:$B,2,0)</f>
        <v>JOSE RICARDO ANTONIO MOLINA</v>
      </c>
      <c r="M484" s="10">
        <f>7.75+3.87</f>
        <v>11.620000000000001</v>
      </c>
      <c r="N484" s="7" t="s">
        <v>2</v>
      </c>
      <c r="O484" s="7" t="s">
        <v>2</v>
      </c>
      <c r="P484" s="10">
        <v>97.68</v>
      </c>
      <c r="Q484" s="29" t="s">
        <v>2</v>
      </c>
      <c r="R484" s="32" t="s">
        <v>2</v>
      </c>
      <c r="S484" s="32" t="s">
        <v>2</v>
      </c>
      <c r="T484" s="29">
        <f t="shared" si="82"/>
        <v>12.698400000000001</v>
      </c>
      <c r="U484" s="28">
        <f t="shared" si="83"/>
        <v>121.99840000000002</v>
      </c>
      <c r="V484" s="4" t="s">
        <v>3</v>
      </c>
      <c r="X484" s="3">
        <f t="shared" si="84"/>
        <v>12.7</v>
      </c>
    </row>
    <row r="485" spans="1:24" hidden="1" x14ac:dyDescent="0.25">
      <c r="A485" s="7" t="s">
        <v>843</v>
      </c>
      <c r="B485" s="4" t="s">
        <v>881</v>
      </c>
      <c r="C485" s="5" t="str">
        <f t="shared" si="79"/>
        <v>21</v>
      </c>
      <c r="D485" s="5" t="str">
        <f t="shared" si="80"/>
        <v>06</v>
      </c>
      <c r="E485" s="4" t="s">
        <v>30</v>
      </c>
      <c r="F485" s="4" t="s">
        <v>31</v>
      </c>
      <c r="G485" s="8" t="str">
        <f t="shared" si="81"/>
        <v>21/06/2021</v>
      </c>
      <c r="H485" s="4" t="s">
        <v>1</v>
      </c>
      <c r="I485" s="4" t="s">
        <v>0</v>
      </c>
      <c r="J485" s="7" t="s">
        <v>882</v>
      </c>
      <c r="K485" s="7" t="s">
        <v>45</v>
      </c>
      <c r="L485" s="9" t="str">
        <f>+VLOOKUP(K485,'[1]BASE DE PROVEEDORES'!$A:$B,2,0)</f>
        <v>JOSE RICARDO ANTONIO MOLINA</v>
      </c>
      <c r="M485" s="10">
        <f>0.76+0.38</f>
        <v>1.1400000000000001</v>
      </c>
      <c r="N485" s="7" t="s">
        <v>2</v>
      </c>
      <c r="O485" s="7" t="s">
        <v>2</v>
      </c>
      <c r="P485" s="10">
        <v>9.61</v>
      </c>
      <c r="Q485" s="29" t="s">
        <v>2</v>
      </c>
      <c r="R485" s="32" t="s">
        <v>2</v>
      </c>
      <c r="S485" s="32" t="s">
        <v>2</v>
      </c>
      <c r="T485" s="29">
        <f t="shared" si="82"/>
        <v>1.2493000000000001</v>
      </c>
      <c r="U485" s="28">
        <f t="shared" si="83"/>
        <v>11.9993</v>
      </c>
      <c r="V485" s="4" t="s">
        <v>3</v>
      </c>
      <c r="X485" s="3">
        <f t="shared" si="84"/>
        <v>1.25</v>
      </c>
    </row>
    <row r="486" spans="1:24" hidden="1" x14ac:dyDescent="0.25">
      <c r="A486" s="7" t="s">
        <v>843</v>
      </c>
      <c r="B486" s="4" t="s">
        <v>881</v>
      </c>
      <c r="C486" s="5" t="str">
        <f t="shared" si="79"/>
        <v>21</v>
      </c>
      <c r="D486" s="5" t="str">
        <f t="shared" si="80"/>
        <v>06</v>
      </c>
      <c r="E486" s="4" t="s">
        <v>30</v>
      </c>
      <c r="F486" s="4" t="s">
        <v>31</v>
      </c>
      <c r="G486" s="8" t="str">
        <f t="shared" si="81"/>
        <v>21/06/2021</v>
      </c>
      <c r="H486" s="4" t="s">
        <v>1</v>
      </c>
      <c r="I486" s="4" t="s">
        <v>0</v>
      </c>
      <c r="J486" s="7" t="s">
        <v>883</v>
      </c>
      <c r="K486" s="7" t="s">
        <v>45</v>
      </c>
      <c r="L486" s="9" t="str">
        <f>+VLOOKUP(K486,'[1]BASE DE PROVEEDORES'!$A:$B,2,0)</f>
        <v>JOSE RICARDO ANTONIO MOLINA</v>
      </c>
      <c r="M486" s="10">
        <f>7.63+3.81</f>
        <v>11.44</v>
      </c>
      <c r="N486" s="7" t="s">
        <v>2</v>
      </c>
      <c r="O486" s="7" t="s">
        <v>2</v>
      </c>
      <c r="P486" s="10">
        <v>96.22</v>
      </c>
      <c r="Q486" s="29" t="s">
        <v>2</v>
      </c>
      <c r="R486" s="32" t="s">
        <v>2</v>
      </c>
      <c r="S486" s="32" t="s">
        <v>2</v>
      </c>
      <c r="T486" s="29">
        <f t="shared" si="82"/>
        <v>12.508599999999999</v>
      </c>
      <c r="U486" s="28">
        <f t="shared" si="83"/>
        <v>120.1686</v>
      </c>
      <c r="V486" s="4" t="s">
        <v>3</v>
      </c>
      <c r="X486" s="3">
        <f t="shared" si="84"/>
        <v>12.51</v>
      </c>
    </row>
    <row r="487" spans="1:24" hidden="1" x14ac:dyDescent="0.25">
      <c r="A487" s="7" t="s">
        <v>843</v>
      </c>
      <c r="B487" s="4" t="s">
        <v>881</v>
      </c>
      <c r="C487" s="5" t="str">
        <f t="shared" si="79"/>
        <v>21</v>
      </c>
      <c r="D487" s="5" t="str">
        <f t="shared" si="80"/>
        <v>06</v>
      </c>
      <c r="E487" s="4" t="s">
        <v>30</v>
      </c>
      <c r="F487" s="4" t="s">
        <v>31</v>
      </c>
      <c r="G487" s="8" t="str">
        <f t="shared" si="81"/>
        <v>21/06/2021</v>
      </c>
      <c r="H487" s="4" t="s">
        <v>1</v>
      </c>
      <c r="I487" s="4" t="s">
        <v>0</v>
      </c>
      <c r="J487" s="7" t="s">
        <v>905</v>
      </c>
      <c r="K487" s="7" t="s">
        <v>28</v>
      </c>
      <c r="L487" s="9" t="str">
        <f>+VLOOKUP(K487,'[1]BASE DE PROVEEDORES'!$A:$B,2,0)</f>
        <v xml:space="preserve">ACTIVIDADES PETROLERAS DE EL SALVADOR S.A DE C.V </v>
      </c>
      <c r="M487" s="10">
        <f>1.38+0.69</f>
        <v>2.0699999999999998</v>
      </c>
      <c r="N487" s="7" t="s">
        <v>2</v>
      </c>
      <c r="O487" s="7" t="s">
        <v>2</v>
      </c>
      <c r="P487" s="10">
        <v>17.329999999999998</v>
      </c>
      <c r="Q487" s="29" t="s">
        <v>2</v>
      </c>
      <c r="R487" s="32" t="s">
        <v>2</v>
      </c>
      <c r="S487" s="32" t="s">
        <v>2</v>
      </c>
      <c r="T487" s="29">
        <f t="shared" si="82"/>
        <v>2.2528999999999999</v>
      </c>
      <c r="U487" s="28">
        <f t="shared" si="83"/>
        <v>21.652899999999999</v>
      </c>
      <c r="V487" s="4" t="s">
        <v>3</v>
      </c>
      <c r="X487" s="3">
        <f t="shared" si="84"/>
        <v>2.25</v>
      </c>
    </row>
    <row r="488" spans="1:24" hidden="1" x14ac:dyDescent="0.25">
      <c r="A488" s="7" t="s">
        <v>843</v>
      </c>
      <c r="B488" s="4" t="s">
        <v>884</v>
      </c>
      <c r="C488" s="5" t="str">
        <f t="shared" si="79"/>
        <v>22</v>
      </c>
      <c r="D488" s="5" t="str">
        <f t="shared" si="80"/>
        <v>06</v>
      </c>
      <c r="E488" s="4" t="s">
        <v>30</v>
      </c>
      <c r="F488" s="4" t="s">
        <v>31</v>
      </c>
      <c r="G488" s="8" t="str">
        <f t="shared" si="81"/>
        <v>22/06/2021</v>
      </c>
      <c r="H488" s="4" t="s">
        <v>1</v>
      </c>
      <c r="I488" s="4" t="s">
        <v>0</v>
      </c>
      <c r="J488" s="7" t="s">
        <v>885</v>
      </c>
      <c r="K488" s="7" t="s">
        <v>45</v>
      </c>
      <c r="L488" s="9" t="str">
        <f>+VLOOKUP(K488,'[1]BASE DE PROVEEDORES'!$A:$B,2,0)</f>
        <v>JOSE RICARDO ANTONIO MOLINA</v>
      </c>
      <c r="M488" s="10">
        <f>8.57+4.29</f>
        <v>12.86</v>
      </c>
      <c r="N488" s="7" t="s">
        <v>2</v>
      </c>
      <c r="O488" s="7" t="s">
        <v>2</v>
      </c>
      <c r="P488" s="10">
        <v>108.09</v>
      </c>
      <c r="Q488" s="29" t="s">
        <v>2</v>
      </c>
      <c r="R488" s="32" t="s">
        <v>2</v>
      </c>
      <c r="S488" s="32" t="s">
        <v>2</v>
      </c>
      <c r="T488" s="29">
        <f t="shared" si="82"/>
        <v>14.0517</v>
      </c>
      <c r="U488" s="28">
        <f t="shared" si="83"/>
        <v>135.0017</v>
      </c>
      <c r="V488" s="4" t="s">
        <v>3</v>
      </c>
      <c r="X488" s="3">
        <f t="shared" si="84"/>
        <v>14.05</v>
      </c>
    </row>
    <row r="489" spans="1:24" hidden="1" x14ac:dyDescent="0.25">
      <c r="A489" s="7" t="s">
        <v>843</v>
      </c>
      <c r="B489" s="4" t="s">
        <v>884</v>
      </c>
      <c r="C489" s="5" t="str">
        <f t="shared" si="79"/>
        <v>22</v>
      </c>
      <c r="D489" s="5" t="str">
        <f t="shared" si="80"/>
        <v>06</v>
      </c>
      <c r="E489" s="4" t="s">
        <v>30</v>
      </c>
      <c r="F489" s="4" t="s">
        <v>31</v>
      </c>
      <c r="G489" s="8" t="str">
        <f t="shared" si="81"/>
        <v>22/06/2021</v>
      </c>
      <c r="H489" s="4" t="s">
        <v>1</v>
      </c>
      <c r="I489" s="4" t="s">
        <v>0</v>
      </c>
      <c r="J489" s="7" t="s">
        <v>969</v>
      </c>
      <c r="K489" s="7" t="s">
        <v>172</v>
      </c>
      <c r="L489" s="9" t="str">
        <f>+VLOOKUP(K489,'[1]BASE DE PROVEEDORES'!$A:$B,2,0)</f>
        <v>MANEJO INTEGRAL DE DESECHOS SOLIDOS SEM DE C.V.</v>
      </c>
      <c r="M489" s="10">
        <v>0</v>
      </c>
      <c r="N489" s="7" t="s">
        <v>2</v>
      </c>
      <c r="O489" s="7" t="s">
        <v>2</v>
      </c>
      <c r="P489" s="10">
        <v>43.8</v>
      </c>
      <c r="Q489" s="29" t="s">
        <v>2</v>
      </c>
      <c r="R489" s="32" t="s">
        <v>2</v>
      </c>
      <c r="S489" s="32" t="s">
        <v>2</v>
      </c>
      <c r="T489" s="29">
        <f t="shared" si="82"/>
        <v>5.694</v>
      </c>
      <c r="U489" s="28">
        <f t="shared" si="83"/>
        <v>49.494</v>
      </c>
      <c r="V489" s="4" t="s">
        <v>3</v>
      </c>
      <c r="X489" s="3">
        <f t="shared" si="84"/>
        <v>5.69</v>
      </c>
    </row>
    <row r="490" spans="1:24" hidden="1" x14ac:dyDescent="0.25">
      <c r="A490" s="7" t="s">
        <v>843</v>
      </c>
      <c r="B490" s="4" t="s">
        <v>884</v>
      </c>
      <c r="C490" s="5" t="str">
        <f t="shared" si="79"/>
        <v>22</v>
      </c>
      <c r="D490" s="5" t="str">
        <f t="shared" si="80"/>
        <v>06</v>
      </c>
      <c r="E490" s="4" t="s">
        <v>30</v>
      </c>
      <c r="F490" s="4" t="s">
        <v>31</v>
      </c>
      <c r="G490" s="8" t="str">
        <f t="shared" si="81"/>
        <v>22/06/2021</v>
      </c>
      <c r="H490" s="4" t="s">
        <v>1</v>
      </c>
      <c r="I490" s="4" t="s">
        <v>0</v>
      </c>
      <c r="J490" s="7" t="s">
        <v>987</v>
      </c>
      <c r="K490" s="7" t="s">
        <v>172</v>
      </c>
      <c r="L490" s="9" t="str">
        <f>+VLOOKUP(K490,'[1]BASE DE PROVEEDORES'!$A:$B,2,0)</f>
        <v>MANEJO INTEGRAL DE DESECHOS SOLIDOS SEM DE C.V.</v>
      </c>
      <c r="M490" s="10">
        <v>0</v>
      </c>
      <c r="N490" s="7" t="s">
        <v>2</v>
      </c>
      <c r="O490" s="7" t="s">
        <v>2</v>
      </c>
      <c r="P490" s="10">
        <v>56.26</v>
      </c>
      <c r="Q490" s="29" t="s">
        <v>2</v>
      </c>
      <c r="R490" s="32" t="s">
        <v>2</v>
      </c>
      <c r="S490" s="32" t="s">
        <v>2</v>
      </c>
      <c r="T490" s="29">
        <f t="shared" si="82"/>
        <v>7.3137999999999996</v>
      </c>
      <c r="U490" s="28">
        <f t="shared" si="83"/>
        <v>63.573799999999999</v>
      </c>
      <c r="V490" s="4" t="s">
        <v>3</v>
      </c>
    </row>
    <row r="491" spans="1:24" hidden="1" x14ac:dyDescent="0.25">
      <c r="A491" s="7" t="s">
        <v>843</v>
      </c>
      <c r="B491" s="4" t="s">
        <v>884</v>
      </c>
      <c r="C491" s="5" t="str">
        <f t="shared" si="79"/>
        <v>22</v>
      </c>
      <c r="D491" s="5" t="str">
        <f t="shared" si="80"/>
        <v>06</v>
      </c>
      <c r="E491" s="4" t="s">
        <v>30</v>
      </c>
      <c r="F491" s="4" t="s">
        <v>31</v>
      </c>
      <c r="G491" s="8" t="str">
        <f t="shared" si="81"/>
        <v>22/06/2021</v>
      </c>
      <c r="H491" s="4" t="s">
        <v>1</v>
      </c>
      <c r="I491" s="4" t="s">
        <v>0</v>
      </c>
      <c r="J491" s="7" t="s">
        <v>997</v>
      </c>
      <c r="K491" s="7" t="s">
        <v>172</v>
      </c>
      <c r="L491" s="9" t="str">
        <f>+VLOOKUP(K491,'[1]BASE DE PROVEEDORES'!$A:$B,2,0)</f>
        <v>MANEJO INTEGRAL DE DESECHOS SOLIDOS SEM DE C.V.</v>
      </c>
      <c r="M491" s="10">
        <v>0</v>
      </c>
      <c r="N491" s="7" t="s">
        <v>2</v>
      </c>
      <c r="O491" s="7" t="s">
        <v>2</v>
      </c>
      <c r="P491" s="10">
        <v>56.26</v>
      </c>
      <c r="Q491" s="29" t="s">
        <v>2</v>
      </c>
      <c r="R491" s="32" t="s">
        <v>2</v>
      </c>
      <c r="S491" s="32" t="s">
        <v>2</v>
      </c>
      <c r="T491" s="29">
        <f t="shared" si="82"/>
        <v>7.3137999999999996</v>
      </c>
      <c r="U491" s="28">
        <f t="shared" si="83"/>
        <v>63.573799999999999</v>
      </c>
      <c r="V491" s="4" t="s">
        <v>3</v>
      </c>
    </row>
    <row r="492" spans="1:24" hidden="1" x14ac:dyDescent="0.25">
      <c r="A492" s="7" t="s">
        <v>843</v>
      </c>
      <c r="B492" s="4" t="s">
        <v>903</v>
      </c>
      <c r="C492" s="5" t="str">
        <f t="shared" si="79"/>
        <v>23</v>
      </c>
      <c r="D492" s="5" t="str">
        <f t="shared" si="80"/>
        <v>06</v>
      </c>
      <c r="E492" s="4" t="s">
        <v>30</v>
      </c>
      <c r="F492" s="4" t="s">
        <v>31</v>
      </c>
      <c r="G492" s="8" t="str">
        <f t="shared" si="81"/>
        <v>23/06/2021</v>
      </c>
      <c r="H492" s="4" t="s">
        <v>1</v>
      </c>
      <c r="I492" s="4" t="s">
        <v>0</v>
      </c>
      <c r="J492" s="7" t="s">
        <v>904</v>
      </c>
      <c r="K492" s="7" t="s">
        <v>28</v>
      </c>
      <c r="L492" s="9" t="str">
        <f>+VLOOKUP(K492,'[1]BASE DE PROVEEDORES'!$A:$B,2,0)</f>
        <v xml:space="preserve">ACTIVIDADES PETROLERAS DE EL SALVADOR S.A DE C.V </v>
      </c>
      <c r="M492" s="10">
        <f>2.67+1.33</f>
        <v>4</v>
      </c>
      <c r="N492" s="7" t="s">
        <v>2</v>
      </c>
      <c r="O492" s="7" t="s">
        <v>2</v>
      </c>
      <c r="P492" s="10">
        <v>33.630000000000003</v>
      </c>
      <c r="Q492" s="29" t="s">
        <v>2</v>
      </c>
      <c r="R492" s="32" t="s">
        <v>2</v>
      </c>
      <c r="S492" s="32" t="s">
        <v>2</v>
      </c>
      <c r="T492" s="29">
        <f t="shared" si="82"/>
        <v>4.3719000000000001</v>
      </c>
      <c r="U492" s="28">
        <f t="shared" si="83"/>
        <v>42.001900000000006</v>
      </c>
      <c r="V492" s="4" t="s">
        <v>3</v>
      </c>
      <c r="X492" s="3">
        <f t="shared" ref="X492:X499" si="85">+ROUND(T492,2)</f>
        <v>4.37</v>
      </c>
    </row>
    <row r="493" spans="1:24" hidden="1" x14ac:dyDescent="0.25">
      <c r="A493" s="7" t="s">
        <v>843</v>
      </c>
      <c r="B493" s="4" t="s">
        <v>903</v>
      </c>
      <c r="C493" s="5" t="str">
        <f t="shared" si="79"/>
        <v>23</v>
      </c>
      <c r="D493" s="5" t="str">
        <f t="shared" si="80"/>
        <v>06</v>
      </c>
      <c r="E493" s="4" t="s">
        <v>30</v>
      </c>
      <c r="F493" s="4" t="s">
        <v>31</v>
      </c>
      <c r="G493" s="8" t="str">
        <f t="shared" si="81"/>
        <v>23/06/2021</v>
      </c>
      <c r="H493" s="4" t="s">
        <v>1</v>
      </c>
      <c r="I493" s="4" t="s">
        <v>0</v>
      </c>
      <c r="J493" s="7" t="s">
        <v>981</v>
      </c>
      <c r="K493" s="7" t="s">
        <v>172</v>
      </c>
      <c r="L493" s="9" t="str">
        <f>+VLOOKUP(K493,'[1]BASE DE PROVEEDORES'!$A:$B,2,0)</f>
        <v>MANEJO INTEGRAL DE DESECHOS SOLIDOS SEM DE C.V.</v>
      </c>
      <c r="M493" s="10">
        <v>0</v>
      </c>
      <c r="N493" s="7" t="s">
        <v>2</v>
      </c>
      <c r="O493" s="7" t="s">
        <v>2</v>
      </c>
      <c r="P493" s="10">
        <v>62.05</v>
      </c>
      <c r="Q493" s="29" t="s">
        <v>2</v>
      </c>
      <c r="R493" s="32" t="s">
        <v>2</v>
      </c>
      <c r="S493" s="32" t="s">
        <v>2</v>
      </c>
      <c r="T493" s="29">
        <f t="shared" si="82"/>
        <v>8.0664999999999996</v>
      </c>
      <c r="U493" s="28">
        <f t="shared" si="83"/>
        <v>70.116500000000002</v>
      </c>
      <c r="V493" s="4" t="s">
        <v>3</v>
      </c>
      <c r="X493" s="3">
        <f t="shared" si="85"/>
        <v>8.07</v>
      </c>
    </row>
    <row r="494" spans="1:24" hidden="1" x14ac:dyDescent="0.25">
      <c r="A494" s="7" t="s">
        <v>843</v>
      </c>
      <c r="B494" s="4" t="s">
        <v>886</v>
      </c>
      <c r="C494" s="5" t="str">
        <f t="shared" si="79"/>
        <v>24</v>
      </c>
      <c r="D494" s="5" t="str">
        <f t="shared" si="80"/>
        <v>06</v>
      </c>
      <c r="E494" s="4" t="s">
        <v>30</v>
      </c>
      <c r="F494" s="4" t="s">
        <v>31</v>
      </c>
      <c r="G494" s="8" t="str">
        <f t="shared" si="81"/>
        <v>24/06/2021</v>
      </c>
      <c r="H494" s="4" t="s">
        <v>1</v>
      </c>
      <c r="I494" s="4" t="s">
        <v>0</v>
      </c>
      <c r="J494" s="7" t="s">
        <v>887</v>
      </c>
      <c r="K494" s="7" t="s">
        <v>45</v>
      </c>
      <c r="L494" s="9" t="str">
        <f>+VLOOKUP(K494,'[1]BASE DE PROVEEDORES'!$A:$B,2,0)</f>
        <v>JOSE RICARDO ANTONIO MOLINA</v>
      </c>
      <c r="M494" s="10">
        <f>7.89+3.95</f>
        <v>11.84</v>
      </c>
      <c r="N494" s="7" t="s">
        <v>2</v>
      </c>
      <c r="O494" s="7" t="s">
        <v>2</v>
      </c>
      <c r="P494" s="10">
        <v>99.52</v>
      </c>
      <c r="Q494" s="29" t="s">
        <v>2</v>
      </c>
      <c r="R494" s="32" t="s">
        <v>2</v>
      </c>
      <c r="S494" s="32" t="s">
        <v>2</v>
      </c>
      <c r="T494" s="29">
        <f t="shared" si="82"/>
        <v>12.9376</v>
      </c>
      <c r="U494" s="28">
        <f t="shared" si="83"/>
        <v>124.2976</v>
      </c>
      <c r="V494" s="4" t="s">
        <v>3</v>
      </c>
      <c r="X494" s="3">
        <f t="shared" si="85"/>
        <v>12.94</v>
      </c>
    </row>
    <row r="495" spans="1:24" hidden="1" x14ac:dyDescent="0.25">
      <c r="A495" s="7" t="s">
        <v>843</v>
      </c>
      <c r="B495" s="4" t="s">
        <v>886</v>
      </c>
      <c r="C495" s="5" t="str">
        <f t="shared" si="79"/>
        <v>24</v>
      </c>
      <c r="D495" s="5" t="str">
        <f t="shared" si="80"/>
        <v>06</v>
      </c>
      <c r="E495" s="4" t="s">
        <v>30</v>
      </c>
      <c r="F495" s="4" t="s">
        <v>31</v>
      </c>
      <c r="G495" s="8" t="str">
        <f t="shared" si="81"/>
        <v>24/06/2021</v>
      </c>
      <c r="H495" s="4" t="s">
        <v>1</v>
      </c>
      <c r="I495" s="4" t="s">
        <v>0</v>
      </c>
      <c r="J495" s="7" t="s">
        <v>888</v>
      </c>
      <c r="K495" s="7" t="s">
        <v>45</v>
      </c>
      <c r="L495" s="9" t="str">
        <f>+VLOOKUP(K495,'[1]BASE DE PROVEEDORES'!$A:$B,2,0)</f>
        <v>JOSE RICARDO ANTONIO MOLINA</v>
      </c>
      <c r="M495" s="10">
        <f>6.36+3.18</f>
        <v>9.5400000000000009</v>
      </c>
      <c r="N495" s="7" t="s">
        <v>2</v>
      </c>
      <c r="O495" s="7" t="s">
        <v>2</v>
      </c>
      <c r="P495" s="10">
        <v>80.16</v>
      </c>
      <c r="Q495" s="29" t="s">
        <v>2</v>
      </c>
      <c r="R495" s="32" t="s">
        <v>2</v>
      </c>
      <c r="S495" s="32" t="s">
        <v>2</v>
      </c>
      <c r="T495" s="29">
        <f t="shared" si="82"/>
        <v>10.4208</v>
      </c>
      <c r="U495" s="28">
        <f t="shared" si="83"/>
        <v>100.1208</v>
      </c>
      <c r="V495" s="4" t="s">
        <v>3</v>
      </c>
      <c r="X495" s="3">
        <f t="shared" si="85"/>
        <v>10.42</v>
      </c>
    </row>
    <row r="496" spans="1:24" hidden="1" x14ac:dyDescent="0.25">
      <c r="A496" s="7" t="s">
        <v>843</v>
      </c>
      <c r="B496" s="4" t="s">
        <v>886</v>
      </c>
      <c r="C496" s="5" t="str">
        <f t="shared" si="79"/>
        <v>24</v>
      </c>
      <c r="D496" s="5" t="str">
        <f t="shared" si="80"/>
        <v>06</v>
      </c>
      <c r="E496" s="4" t="s">
        <v>30</v>
      </c>
      <c r="F496" s="4" t="s">
        <v>31</v>
      </c>
      <c r="G496" s="8" t="str">
        <f t="shared" si="81"/>
        <v>24/06/2021</v>
      </c>
      <c r="H496" s="4" t="s">
        <v>1</v>
      </c>
      <c r="I496" s="4" t="s">
        <v>0</v>
      </c>
      <c r="J496" s="7" t="s">
        <v>929</v>
      </c>
      <c r="K496" s="7" t="s">
        <v>930</v>
      </c>
      <c r="L496" s="9" t="str">
        <f>+VLOOKUP(K496,'[1]BASE DE PROVEEDORES'!$A:$B,2,0)</f>
        <v>FREDY GUILLERMO CACERES RAFAELANO</v>
      </c>
      <c r="M496" s="10">
        <v>0</v>
      </c>
      <c r="N496" s="7" t="s">
        <v>2</v>
      </c>
      <c r="O496" s="7" t="s">
        <v>2</v>
      </c>
      <c r="P496" s="10">
        <v>550</v>
      </c>
      <c r="Q496" s="29" t="s">
        <v>2</v>
      </c>
      <c r="R496" s="32" t="s">
        <v>2</v>
      </c>
      <c r="S496" s="32" t="s">
        <v>2</v>
      </c>
      <c r="T496" s="29">
        <f t="shared" si="82"/>
        <v>71.5</v>
      </c>
      <c r="U496" s="28">
        <f t="shared" si="83"/>
        <v>621.5</v>
      </c>
      <c r="V496" s="4" t="s">
        <v>3</v>
      </c>
      <c r="X496" s="3">
        <f t="shared" si="85"/>
        <v>71.5</v>
      </c>
    </row>
    <row r="497" spans="1:24" hidden="1" x14ac:dyDescent="0.25">
      <c r="A497" s="7" t="s">
        <v>843</v>
      </c>
      <c r="B497" s="4" t="s">
        <v>886</v>
      </c>
      <c r="C497" s="5" t="str">
        <f t="shared" si="79"/>
        <v>24</v>
      </c>
      <c r="D497" s="5" t="str">
        <f t="shared" si="80"/>
        <v>06</v>
      </c>
      <c r="E497" s="4" t="s">
        <v>30</v>
      </c>
      <c r="F497" s="4" t="s">
        <v>31</v>
      </c>
      <c r="G497" s="8" t="str">
        <f t="shared" si="81"/>
        <v>24/06/2021</v>
      </c>
      <c r="H497" s="4" t="s">
        <v>1</v>
      </c>
      <c r="I497" s="4" t="s">
        <v>0</v>
      </c>
      <c r="J497" s="7" t="s">
        <v>982</v>
      </c>
      <c r="K497" s="7" t="s">
        <v>172</v>
      </c>
      <c r="L497" s="9" t="str">
        <f>+VLOOKUP(K497,'[1]BASE DE PROVEEDORES'!$A:$B,2,0)</f>
        <v>MANEJO INTEGRAL DE DESECHOS SOLIDOS SEM DE C.V.</v>
      </c>
      <c r="M497" s="10">
        <v>0</v>
      </c>
      <c r="N497" s="7" t="s">
        <v>2</v>
      </c>
      <c r="O497" s="7" t="s">
        <v>2</v>
      </c>
      <c r="P497" s="10">
        <v>28.08</v>
      </c>
      <c r="Q497" s="29" t="s">
        <v>2</v>
      </c>
      <c r="R497" s="32" t="s">
        <v>2</v>
      </c>
      <c r="S497" s="32" t="s">
        <v>2</v>
      </c>
      <c r="T497" s="29">
        <f t="shared" si="82"/>
        <v>3.6503999999999999</v>
      </c>
      <c r="U497" s="28">
        <f t="shared" si="83"/>
        <v>31.730399999999999</v>
      </c>
      <c r="V497" s="4" t="s">
        <v>3</v>
      </c>
      <c r="X497" s="3">
        <f t="shared" si="85"/>
        <v>3.65</v>
      </c>
    </row>
    <row r="498" spans="1:24" hidden="1" x14ac:dyDescent="0.25">
      <c r="A498" s="7" t="s">
        <v>843</v>
      </c>
      <c r="B498" s="4" t="s">
        <v>901</v>
      </c>
      <c r="C498" s="5" t="str">
        <f t="shared" si="79"/>
        <v>25</v>
      </c>
      <c r="D498" s="5" t="str">
        <f t="shared" si="80"/>
        <v>06</v>
      </c>
      <c r="E498" s="4" t="s">
        <v>30</v>
      </c>
      <c r="F498" s="4" t="s">
        <v>31</v>
      </c>
      <c r="G498" s="8" t="str">
        <f t="shared" si="81"/>
        <v>25/06/2021</v>
      </c>
      <c r="H498" s="4" t="s">
        <v>1</v>
      </c>
      <c r="I498" s="4" t="s">
        <v>0</v>
      </c>
      <c r="J498" s="7" t="s">
        <v>902</v>
      </c>
      <c r="K498" s="7" t="s">
        <v>28</v>
      </c>
      <c r="L498" s="9" t="str">
        <f>+VLOOKUP(K498,'[1]BASE DE PROVEEDORES'!$A:$B,2,0)</f>
        <v xml:space="preserve">ACTIVIDADES PETROLERAS DE EL SALVADOR S.A DE C.V </v>
      </c>
      <c r="M498" s="10">
        <v>2.57</v>
      </c>
      <c r="N498" s="7" t="s">
        <v>2</v>
      </c>
      <c r="O498" s="7" t="s">
        <v>2</v>
      </c>
      <c r="P498" s="10">
        <v>21.62</v>
      </c>
      <c r="Q498" s="29" t="s">
        <v>2</v>
      </c>
      <c r="R498" s="32" t="s">
        <v>2</v>
      </c>
      <c r="S498" s="32" t="s">
        <v>2</v>
      </c>
      <c r="T498" s="29">
        <f t="shared" si="82"/>
        <v>2.8106000000000004</v>
      </c>
      <c r="U498" s="28">
        <f t="shared" si="83"/>
        <v>27.000600000000002</v>
      </c>
      <c r="V498" s="4" t="s">
        <v>3</v>
      </c>
      <c r="X498" s="3">
        <f t="shared" si="85"/>
        <v>2.81</v>
      </c>
    </row>
    <row r="499" spans="1:24" hidden="1" x14ac:dyDescent="0.25">
      <c r="A499" s="7" t="s">
        <v>843</v>
      </c>
      <c r="B499" s="4" t="s">
        <v>901</v>
      </c>
      <c r="C499" s="5" t="str">
        <f t="shared" si="79"/>
        <v>25</v>
      </c>
      <c r="D499" s="5" t="str">
        <f t="shared" si="80"/>
        <v>06</v>
      </c>
      <c r="E499" s="4" t="s">
        <v>30</v>
      </c>
      <c r="F499" s="4" t="s">
        <v>31</v>
      </c>
      <c r="G499" s="8" t="str">
        <f t="shared" si="81"/>
        <v>25/06/2021</v>
      </c>
      <c r="H499" s="4" t="s">
        <v>1</v>
      </c>
      <c r="I499" s="4" t="s">
        <v>0</v>
      </c>
      <c r="J499" s="7" t="s">
        <v>970</v>
      </c>
      <c r="K499" s="7" t="s">
        <v>172</v>
      </c>
      <c r="L499" s="9" t="str">
        <f>+VLOOKUP(K499,'[1]BASE DE PROVEEDORES'!$A:$B,2,0)</f>
        <v>MANEJO INTEGRAL DE DESECHOS SOLIDOS SEM DE C.V.</v>
      </c>
      <c r="M499" s="10">
        <v>0</v>
      </c>
      <c r="N499" s="7" t="s">
        <v>2</v>
      </c>
      <c r="O499" s="7" t="s">
        <v>2</v>
      </c>
      <c r="P499" s="10">
        <v>43.24</v>
      </c>
      <c r="Q499" s="29" t="s">
        <v>2</v>
      </c>
      <c r="R499" s="32" t="s">
        <v>2</v>
      </c>
      <c r="S499" s="32" t="s">
        <v>2</v>
      </c>
      <c r="T499" s="29">
        <f t="shared" si="82"/>
        <v>5.6212000000000009</v>
      </c>
      <c r="U499" s="28">
        <f t="shared" si="83"/>
        <v>48.861200000000004</v>
      </c>
      <c r="V499" s="4" t="s">
        <v>3</v>
      </c>
      <c r="X499" s="3">
        <f t="shared" si="85"/>
        <v>5.62</v>
      </c>
    </row>
    <row r="500" spans="1:24" hidden="1" x14ac:dyDescent="0.25">
      <c r="A500" s="7" t="s">
        <v>843</v>
      </c>
      <c r="B500" s="4" t="s">
        <v>901</v>
      </c>
      <c r="C500" s="5" t="str">
        <f t="shared" si="79"/>
        <v>25</v>
      </c>
      <c r="D500" s="5" t="str">
        <f t="shared" si="80"/>
        <v>06</v>
      </c>
      <c r="E500" s="4" t="s">
        <v>30</v>
      </c>
      <c r="F500" s="4" t="s">
        <v>31</v>
      </c>
      <c r="G500" s="8" t="str">
        <f t="shared" si="81"/>
        <v>25/06/2021</v>
      </c>
      <c r="H500" s="4" t="s">
        <v>1</v>
      </c>
      <c r="I500" s="4" t="s">
        <v>0</v>
      </c>
      <c r="J500" s="7" t="s">
        <v>998</v>
      </c>
      <c r="K500" s="7" t="s">
        <v>172</v>
      </c>
      <c r="L500" s="9" t="str">
        <f>+VLOOKUP(K500,'[1]BASE DE PROVEEDORES'!$A:$B,2,0)</f>
        <v>MANEJO INTEGRAL DE DESECHOS SOLIDOS SEM DE C.V.</v>
      </c>
      <c r="M500" s="10">
        <v>0</v>
      </c>
      <c r="N500" s="7" t="s">
        <v>2</v>
      </c>
      <c r="O500" s="7" t="s">
        <v>2</v>
      </c>
      <c r="P500" s="10">
        <v>56.26</v>
      </c>
      <c r="Q500" s="29" t="s">
        <v>2</v>
      </c>
      <c r="R500" s="32" t="s">
        <v>2</v>
      </c>
      <c r="S500" s="32" t="s">
        <v>2</v>
      </c>
      <c r="T500" s="29">
        <f t="shared" si="82"/>
        <v>7.3137999999999996</v>
      </c>
      <c r="U500" s="28">
        <f t="shared" si="83"/>
        <v>63.573799999999999</v>
      </c>
      <c r="V500" s="4" t="s">
        <v>3</v>
      </c>
    </row>
    <row r="501" spans="1:24" hidden="1" x14ac:dyDescent="0.25">
      <c r="A501" s="7" t="s">
        <v>843</v>
      </c>
      <c r="B501" s="4" t="s">
        <v>899</v>
      </c>
      <c r="C501" s="5" t="str">
        <f t="shared" si="79"/>
        <v>26</v>
      </c>
      <c r="D501" s="5" t="str">
        <f t="shared" si="80"/>
        <v>06</v>
      </c>
      <c r="E501" s="4" t="s">
        <v>30</v>
      </c>
      <c r="F501" s="4" t="s">
        <v>31</v>
      </c>
      <c r="G501" s="8" t="str">
        <f t="shared" si="81"/>
        <v>26/06/2021</v>
      </c>
      <c r="H501" s="4" t="s">
        <v>1</v>
      </c>
      <c r="I501" s="4" t="s">
        <v>0</v>
      </c>
      <c r="J501" s="7" t="s">
        <v>900</v>
      </c>
      <c r="K501" s="7" t="s">
        <v>28</v>
      </c>
      <c r="L501" s="9" t="str">
        <f>+VLOOKUP(K501,'[1]BASE DE PROVEEDORES'!$A:$B,2,0)</f>
        <v xml:space="preserve">ACTIVIDADES PETROLERAS DE EL SALVADOR S.A DE C.V </v>
      </c>
      <c r="M501" s="10">
        <f>1.96+0.98</f>
        <v>2.94</v>
      </c>
      <c r="N501" s="7" t="s">
        <v>2</v>
      </c>
      <c r="O501" s="7" t="s">
        <v>2</v>
      </c>
      <c r="P501" s="10">
        <v>24.82</v>
      </c>
      <c r="Q501" s="29" t="s">
        <v>2</v>
      </c>
      <c r="R501" s="32" t="s">
        <v>2</v>
      </c>
      <c r="S501" s="32" t="s">
        <v>2</v>
      </c>
      <c r="T501" s="29">
        <f t="shared" si="82"/>
        <v>3.2266000000000004</v>
      </c>
      <c r="U501" s="28">
        <f t="shared" si="83"/>
        <v>30.986600000000003</v>
      </c>
      <c r="V501" s="4" t="s">
        <v>3</v>
      </c>
      <c r="X501" s="3">
        <f t="shared" ref="X501:X507" si="86">+ROUND(T501,2)</f>
        <v>3.23</v>
      </c>
    </row>
    <row r="502" spans="1:24" hidden="1" x14ac:dyDescent="0.25">
      <c r="A502" s="7" t="s">
        <v>843</v>
      </c>
      <c r="B502" s="4" t="s">
        <v>899</v>
      </c>
      <c r="C502" s="5" t="str">
        <f t="shared" si="79"/>
        <v>26</v>
      </c>
      <c r="D502" s="5" t="str">
        <f t="shared" si="80"/>
        <v>06</v>
      </c>
      <c r="E502" s="4" t="s">
        <v>30</v>
      </c>
      <c r="F502" s="4" t="s">
        <v>31</v>
      </c>
      <c r="G502" s="8" t="str">
        <f t="shared" si="81"/>
        <v>26/06/2021</v>
      </c>
      <c r="H502" s="4" t="s">
        <v>1</v>
      </c>
      <c r="I502" s="4" t="s">
        <v>0</v>
      </c>
      <c r="J502" s="7" t="s">
        <v>899</v>
      </c>
      <c r="K502" s="7" t="s">
        <v>172</v>
      </c>
      <c r="L502" s="9" t="str">
        <f>+VLOOKUP(K502,'[1]BASE DE PROVEEDORES'!$A:$B,2,0)</f>
        <v>MANEJO INTEGRAL DE DESECHOS SOLIDOS SEM DE C.V.</v>
      </c>
      <c r="M502" s="10">
        <v>0</v>
      </c>
      <c r="N502" s="7" t="s">
        <v>2</v>
      </c>
      <c r="O502" s="7" t="s">
        <v>2</v>
      </c>
      <c r="P502" s="10">
        <v>62.33</v>
      </c>
      <c r="Q502" s="29" t="s">
        <v>2</v>
      </c>
      <c r="R502" s="32" t="s">
        <v>2</v>
      </c>
      <c r="S502" s="32" t="s">
        <v>2</v>
      </c>
      <c r="T502" s="29">
        <f t="shared" si="82"/>
        <v>8.1029</v>
      </c>
      <c r="U502" s="28">
        <f t="shared" si="83"/>
        <v>70.432900000000004</v>
      </c>
      <c r="V502" s="4" t="s">
        <v>3</v>
      </c>
      <c r="X502" s="3">
        <f t="shared" si="86"/>
        <v>8.1</v>
      </c>
    </row>
    <row r="503" spans="1:24" hidden="1" x14ac:dyDescent="0.25">
      <c r="A503" s="7" t="s">
        <v>843</v>
      </c>
      <c r="B503" s="4" t="s">
        <v>899</v>
      </c>
      <c r="C503" s="5" t="str">
        <f t="shared" si="79"/>
        <v>26</v>
      </c>
      <c r="D503" s="5" t="str">
        <f t="shared" si="80"/>
        <v>06</v>
      </c>
      <c r="E503" s="4" t="s">
        <v>30</v>
      </c>
      <c r="F503" s="4" t="s">
        <v>31</v>
      </c>
      <c r="G503" s="8" t="str">
        <f t="shared" si="81"/>
        <v>26/06/2021</v>
      </c>
      <c r="H503" s="4" t="s">
        <v>1</v>
      </c>
      <c r="I503" s="4" t="s">
        <v>0</v>
      </c>
      <c r="J503" s="7" t="s">
        <v>971</v>
      </c>
      <c r="K503" s="7" t="s">
        <v>172</v>
      </c>
      <c r="L503" s="9" t="str">
        <f>+VLOOKUP(K503,'[1]BASE DE PROVEEDORES'!$A:$B,2,0)</f>
        <v>MANEJO INTEGRAL DE DESECHOS SOLIDOS SEM DE C.V.</v>
      </c>
      <c r="M503" s="10">
        <v>0</v>
      </c>
      <c r="N503" s="7" t="s">
        <v>2</v>
      </c>
      <c r="O503" s="7" t="s">
        <v>2</v>
      </c>
      <c r="P503" s="10">
        <v>43.52</v>
      </c>
      <c r="Q503" s="29" t="s">
        <v>2</v>
      </c>
      <c r="R503" s="32" t="s">
        <v>2</v>
      </c>
      <c r="S503" s="32" t="s">
        <v>2</v>
      </c>
      <c r="T503" s="29">
        <f t="shared" si="82"/>
        <v>5.6576000000000004</v>
      </c>
      <c r="U503" s="28">
        <f t="shared" si="83"/>
        <v>49.177600000000005</v>
      </c>
      <c r="V503" s="4" t="s">
        <v>3</v>
      </c>
      <c r="X503" s="3">
        <f t="shared" si="86"/>
        <v>5.66</v>
      </c>
    </row>
    <row r="504" spans="1:24" hidden="1" x14ac:dyDescent="0.25">
      <c r="A504" s="7" t="s">
        <v>843</v>
      </c>
      <c r="B504" s="4" t="s">
        <v>889</v>
      </c>
      <c r="C504" s="5" t="str">
        <f t="shared" si="79"/>
        <v>27</v>
      </c>
      <c r="D504" s="5" t="str">
        <f t="shared" si="80"/>
        <v>06</v>
      </c>
      <c r="E504" s="4" t="s">
        <v>30</v>
      </c>
      <c r="F504" s="4" t="s">
        <v>31</v>
      </c>
      <c r="G504" s="8" t="str">
        <f t="shared" si="81"/>
        <v>27/06/2021</v>
      </c>
      <c r="H504" s="4" t="s">
        <v>1</v>
      </c>
      <c r="I504" s="4" t="s">
        <v>0</v>
      </c>
      <c r="J504" s="7" t="s">
        <v>890</v>
      </c>
      <c r="K504" s="7" t="s">
        <v>45</v>
      </c>
      <c r="L504" s="9" t="str">
        <f>+VLOOKUP(K504,'[1]BASE DE PROVEEDORES'!$A:$B,2,0)</f>
        <v>JOSE RICARDO ANTONIO MOLINA</v>
      </c>
      <c r="M504" s="10">
        <f>7.3+3.65</f>
        <v>10.95</v>
      </c>
      <c r="N504" s="7" t="s">
        <v>2</v>
      </c>
      <c r="O504" s="7" t="s">
        <v>2</v>
      </c>
      <c r="P504" s="10">
        <v>92.08</v>
      </c>
      <c r="Q504" s="29" t="s">
        <v>2</v>
      </c>
      <c r="R504" s="32" t="s">
        <v>2</v>
      </c>
      <c r="S504" s="32" t="s">
        <v>2</v>
      </c>
      <c r="T504" s="29">
        <f t="shared" si="82"/>
        <v>11.9704</v>
      </c>
      <c r="U504" s="28">
        <f t="shared" si="83"/>
        <v>115.0004</v>
      </c>
      <c r="V504" s="4" t="s">
        <v>3</v>
      </c>
      <c r="X504" s="3">
        <f t="shared" si="86"/>
        <v>11.97</v>
      </c>
    </row>
    <row r="505" spans="1:24" hidden="1" x14ac:dyDescent="0.25">
      <c r="A505" s="7" t="s">
        <v>843</v>
      </c>
      <c r="B505" s="4" t="s">
        <v>889</v>
      </c>
      <c r="C505" s="5" t="str">
        <f t="shared" si="79"/>
        <v>27</v>
      </c>
      <c r="D505" s="5" t="str">
        <f t="shared" si="80"/>
        <v>06</v>
      </c>
      <c r="E505" s="4" t="s">
        <v>30</v>
      </c>
      <c r="F505" s="4" t="s">
        <v>31</v>
      </c>
      <c r="G505" s="8" t="str">
        <f t="shared" si="81"/>
        <v>27/06/2021</v>
      </c>
      <c r="H505" s="4" t="s">
        <v>1</v>
      </c>
      <c r="I505" s="4" t="s">
        <v>0</v>
      </c>
      <c r="J505" s="7" t="s">
        <v>898</v>
      </c>
      <c r="K505" s="7" t="s">
        <v>28</v>
      </c>
      <c r="L505" s="9" t="str">
        <f>+VLOOKUP(K505,'[1]BASE DE PROVEEDORES'!$A:$B,2,0)</f>
        <v xml:space="preserve">ACTIVIDADES PETROLERAS DE EL SALVADOR S.A DE C.V </v>
      </c>
      <c r="M505" s="10">
        <f>1.42+0.71</f>
        <v>2.13</v>
      </c>
      <c r="N505" s="7" t="s">
        <v>2</v>
      </c>
      <c r="O505" s="7" t="s">
        <v>2</v>
      </c>
      <c r="P505" s="10">
        <v>18.02</v>
      </c>
      <c r="Q505" s="29" t="s">
        <v>2</v>
      </c>
      <c r="R505" s="32" t="s">
        <v>2</v>
      </c>
      <c r="S505" s="32" t="s">
        <v>2</v>
      </c>
      <c r="T505" s="29">
        <f t="shared" si="82"/>
        <v>2.3426</v>
      </c>
      <c r="U505" s="28">
        <f t="shared" si="83"/>
        <v>22.492599999999999</v>
      </c>
      <c r="V505" s="4" t="s">
        <v>3</v>
      </c>
      <c r="X505" s="3">
        <f t="shared" si="86"/>
        <v>2.34</v>
      </c>
    </row>
    <row r="506" spans="1:24" hidden="1" x14ac:dyDescent="0.25">
      <c r="A506" s="7" t="s">
        <v>843</v>
      </c>
      <c r="B506" s="4" t="s">
        <v>66</v>
      </c>
      <c r="C506" s="5" t="str">
        <f t="shared" si="79"/>
        <v>28</v>
      </c>
      <c r="D506" s="5" t="str">
        <f t="shared" si="80"/>
        <v>06</v>
      </c>
      <c r="E506" s="4" t="s">
        <v>30</v>
      </c>
      <c r="F506" s="4" t="s">
        <v>31</v>
      </c>
      <c r="G506" s="8" t="str">
        <f t="shared" si="81"/>
        <v>28/06/2021</v>
      </c>
      <c r="H506" s="4" t="s">
        <v>1</v>
      </c>
      <c r="I506" s="4" t="s">
        <v>0</v>
      </c>
      <c r="J506" s="7" t="s">
        <v>891</v>
      </c>
      <c r="K506" s="7" t="s">
        <v>45</v>
      </c>
      <c r="L506" s="9" t="str">
        <f>+VLOOKUP(K506,'[1]BASE DE PROVEEDORES'!$A:$B,2,0)</f>
        <v>JOSE RICARDO ANTONIO MOLINA</v>
      </c>
      <c r="M506" s="10">
        <v>1.43</v>
      </c>
      <c r="N506" s="7" t="s">
        <v>2</v>
      </c>
      <c r="O506" s="7" t="s">
        <v>2</v>
      </c>
      <c r="P506" s="10">
        <v>12.01</v>
      </c>
      <c r="Q506" s="29" t="s">
        <v>2</v>
      </c>
      <c r="R506" s="32" t="s">
        <v>2</v>
      </c>
      <c r="S506" s="32" t="s">
        <v>2</v>
      </c>
      <c r="T506" s="29">
        <f t="shared" si="82"/>
        <v>1.5613000000000001</v>
      </c>
      <c r="U506" s="28">
        <f t="shared" si="83"/>
        <v>15.001300000000001</v>
      </c>
      <c r="V506" s="4" t="s">
        <v>3</v>
      </c>
      <c r="X506" s="3">
        <f t="shared" si="86"/>
        <v>1.56</v>
      </c>
    </row>
    <row r="507" spans="1:24" hidden="1" x14ac:dyDescent="0.25">
      <c r="A507" s="7" t="s">
        <v>843</v>
      </c>
      <c r="B507" s="4" t="s">
        <v>66</v>
      </c>
      <c r="C507" s="5" t="str">
        <f t="shared" si="79"/>
        <v>28</v>
      </c>
      <c r="D507" s="5" t="str">
        <f t="shared" si="80"/>
        <v>06</v>
      </c>
      <c r="E507" s="4" t="s">
        <v>30</v>
      </c>
      <c r="F507" s="4" t="s">
        <v>31</v>
      </c>
      <c r="G507" s="8" t="str">
        <f t="shared" si="81"/>
        <v>28/06/2021</v>
      </c>
      <c r="H507" s="4" t="s">
        <v>1</v>
      </c>
      <c r="I507" s="4" t="s">
        <v>0</v>
      </c>
      <c r="J507" s="7" t="s">
        <v>983</v>
      </c>
      <c r="K507" s="7" t="s">
        <v>172</v>
      </c>
      <c r="L507" s="9" t="str">
        <f>+VLOOKUP(K507,'[1]BASE DE PROVEEDORES'!$A:$B,2,0)</f>
        <v>MANEJO INTEGRAL DE DESECHOS SOLIDOS SEM DE C.V.</v>
      </c>
      <c r="M507" s="10">
        <v>0</v>
      </c>
      <c r="N507" s="7" t="s">
        <v>2</v>
      </c>
      <c r="O507" s="7" t="s">
        <v>2</v>
      </c>
      <c r="P507" s="10">
        <v>42.68</v>
      </c>
      <c r="Q507" s="29" t="s">
        <v>2</v>
      </c>
      <c r="R507" s="32" t="s">
        <v>2</v>
      </c>
      <c r="S507" s="32" t="s">
        <v>2</v>
      </c>
      <c r="T507" s="29">
        <f t="shared" si="82"/>
        <v>5.5484</v>
      </c>
      <c r="U507" s="28">
        <f t="shared" si="83"/>
        <v>48.228400000000001</v>
      </c>
      <c r="V507" s="4" t="s">
        <v>3</v>
      </c>
      <c r="X507" s="3">
        <f t="shared" si="86"/>
        <v>5.55</v>
      </c>
    </row>
    <row r="508" spans="1:24" hidden="1" x14ac:dyDescent="0.25">
      <c r="A508" s="7" t="s">
        <v>843</v>
      </c>
      <c r="B508" s="4" t="s">
        <v>66</v>
      </c>
      <c r="C508" s="5" t="str">
        <f t="shared" si="79"/>
        <v>28</v>
      </c>
      <c r="D508" s="5" t="str">
        <f t="shared" si="80"/>
        <v>06</v>
      </c>
      <c r="E508" s="4" t="s">
        <v>30</v>
      </c>
      <c r="F508" s="4" t="s">
        <v>31</v>
      </c>
      <c r="G508" s="8" t="str">
        <f t="shared" si="81"/>
        <v>28/06/2021</v>
      </c>
      <c r="H508" s="4" t="s">
        <v>1</v>
      </c>
      <c r="I508" s="4" t="s">
        <v>0</v>
      </c>
      <c r="J508" s="7" t="s">
        <v>988</v>
      </c>
      <c r="K508" s="7" t="s">
        <v>172</v>
      </c>
      <c r="L508" s="9" t="str">
        <f>+VLOOKUP(K508,'[1]BASE DE PROVEEDORES'!$A:$B,2,0)</f>
        <v>MANEJO INTEGRAL DE DESECHOS SOLIDOS SEM DE C.V.</v>
      </c>
      <c r="M508" s="10">
        <v>0</v>
      </c>
      <c r="N508" s="7" t="s">
        <v>2</v>
      </c>
      <c r="O508" s="7" t="s">
        <v>2</v>
      </c>
      <c r="P508" s="10">
        <v>56.26</v>
      </c>
      <c r="Q508" s="29" t="s">
        <v>2</v>
      </c>
      <c r="R508" s="32" t="s">
        <v>2</v>
      </c>
      <c r="S508" s="32" t="s">
        <v>2</v>
      </c>
      <c r="T508" s="29">
        <f t="shared" si="82"/>
        <v>7.3137999999999996</v>
      </c>
      <c r="U508" s="28">
        <f t="shared" si="83"/>
        <v>63.573799999999999</v>
      </c>
      <c r="V508" s="4" t="s">
        <v>3</v>
      </c>
    </row>
    <row r="509" spans="1:24" hidden="1" x14ac:dyDescent="0.25">
      <c r="A509" s="7" t="s">
        <v>843</v>
      </c>
      <c r="B509" s="4" t="s">
        <v>66</v>
      </c>
      <c r="C509" s="5" t="str">
        <f t="shared" si="79"/>
        <v>28</v>
      </c>
      <c r="D509" s="5" t="str">
        <f t="shared" si="80"/>
        <v>06</v>
      </c>
      <c r="E509" s="4" t="s">
        <v>30</v>
      </c>
      <c r="F509" s="4" t="s">
        <v>31</v>
      </c>
      <c r="G509" s="8" t="str">
        <f t="shared" si="81"/>
        <v>28/06/2021</v>
      </c>
      <c r="H509" s="4" t="s">
        <v>1</v>
      </c>
      <c r="I509" s="4" t="s">
        <v>0</v>
      </c>
      <c r="J509" s="7" t="s">
        <v>999</v>
      </c>
      <c r="K509" s="7" t="s">
        <v>172</v>
      </c>
      <c r="L509" s="9" t="str">
        <f>+VLOOKUP(K509,'[1]BASE DE PROVEEDORES'!$A:$B,2,0)</f>
        <v>MANEJO INTEGRAL DE DESECHOS SOLIDOS SEM DE C.V.</v>
      </c>
      <c r="M509" s="10">
        <v>0</v>
      </c>
      <c r="N509" s="7" t="s">
        <v>2</v>
      </c>
      <c r="O509" s="7" t="s">
        <v>2</v>
      </c>
      <c r="P509" s="10">
        <v>56.26</v>
      </c>
      <c r="Q509" s="29" t="s">
        <v>2</v>
      </c>
      <c r="R509" s="32" t="s">
        <v>2</v>
      </c>
      <c r="S509" s="32" t="s">
        <v>2</v>
      </c>
      <c r="T509" s="29">
        <f t="shared" si="82"/>
        <v>7.3137999999999996</v>
      </c>
      <c r="U509" s="28">
        <f t="shared" si="83"/>
        <v>63.573799999999999</v>
      </c>
      <c r="V509" s="4" t="s">
        <v>3</v>
      </c>
    </row>
    <row r="510" spans="1:24" hidden="1" x14ac:dyDescent="0.25">
      <c r="A510" s="7" t="s">
        <v>843</v>
      </c>
      <c r="B510" s="4" t="s">
        <v>66</v>
      </c>
      <c r="C510" s="5" t="str">
        <f t="shared" si="79"/>
        <v>28</v>
      </c>
      <c r="D510" s="5" t="str">
        <f t="shared" si="80"/>
        <v>06</v>
      </c>
      <c r="E510" s="4" t="s">
        <v>30</v>
      </c>
      <c r="F510" s="4" t="s">
        <v>31</v>
      </c>
      <c r="G510" s="8" t="str">
        <f t="shared" si="81"/>
        <v>28/06/2021</v>
      </c>
      <c r="H510" s="4" t="s">
        <v>1</v>
      </c>
      <c r="I510" s="4" t="s">
        <v>0</v>
      </c>
      <c r="J510" s="7" t="s">
        <v>1002</v>
      </c>
      <c r="K510" s="7" t="s">
        <v>172</v>
      </c>
      <c r="L510" s="9" t="str">
        <f>+VLOOKUP(K510,'[1]BASE DE PROVEEDORES'!$A:$B,2,0)</f>
        <v>MANEJO INTEGRAL DE DESECHOS SOLIDOS SEM DE C.V.</v>
      </c>
      <c r="M510" s="10">
        <v>0</v>
      </c>
      <c r="N510" s="7" t="s">
        <v>2</v>
      </c>
      <c r="O510" s="7" t="s">
        <v>2</v>
      </c>
      <c r="P510" s="10">
        <v>28.08</v>
      </c>
      <c r="Q510" s="29" t="s">
        <v>2</v>
      </c>
      <c r="R510" s="32" t="s">
        <v>2</v>
      </c>
      <c r="S510" s="32" t="s">
        <v>2</v>
      </c>
      <c r="T510" s="29">
        <f t="shared" si="82"/>
        <v>3.6503999999999999</v>
      </c>
      <c r="U510" s="28">
        <f t="shared" si="83"/>
        <v>31.730399999999999</v>
      </c>
      <c r="V510" s="4" t="s">
        <v>3</v>
      </c>
    </row>
    <row r="511" spans="1:24" hidden="1" x14ac:dyDescent="0.25">
      <c r="A511" s="7" t="s">
        <v>843</v>
      </c>
      <c r="B511" s="4" t="s">
        <v>892</v>
      </c>
      <c r="C511" s="5" t="str">
        <f t="shared" si="79"/>
        <v>29</v>
      </c>
      <c r="D511" s="5" t="str">
        <f t="shared" si="80"/>
        <v>06</v>
      </c>
      <c r="E511" s="4" t="s">
        <v>30</v>
      </c>
      <c r="F511" s="4" t="s">
        <v>31</v>
      </c>
      <c r="G511" s="8" t="str">
        <f t="shared" si="81"/>
        <v>29/06/2021</v>
      </c>
      <c r="H511" s="4" t="s">
        <v>1</v>
      </c>
      <c r="I511" s="4" t="s">
        <v>0</v>
      </c>
      <c r="J511" s="7" t="s">
        <v>893</v>
      </c>
      <c r="K511" s="7" t="s">
        <v>45</v>
      </c>
      <c r="L511" s="9" t="str">
        <f>+VLOOKUP(K511,'[1]BASE DE PROVEEDORES'!$A:$B,2,0)</f>
        <v>JOSE RICARDO ANTONIO MOLINA</v>
      </c>
      <c r="M511" s="10">
        <v>13.18</v>
      </c>
      <c r="N511" s="7" t="s">
        <v>2</v>
      </c>
      <c r="O511" s="7" t="s">
        <v>2</v>
      </c>
      <c r="P511" s="10">
        <v>112.7</v>
      </c>
      <c r="Q511" s="29" t="s">
        <v>2</v>
      </c>
      <c r="R511" s="32" t="s">
        <v>2</v>
      </c>
      <c r="S511" s="32" t="s">
        <v>2</v>
      </c>
      <c r="T511" s="29">
        <f t="shared" si="82"/>
        <v>14.651000000000002</v>
      </c>
      <c r="U511" s="28">
        <f t="shared" si="83"/>
        <v>140.53100000000001</v>
      </c>
      <c r="V511" s="4" t="s">
        <v>3</v>
      </c>
      <c r="X511" s="3">
        <f>+ROUND(T511,2)</f>
        <v>14.65</v>
      </c>
    </row>
    <row r="512" spans="1:24" hidden="1" x14ac:dyDescent="0.25">
      <c r="A512" s="7" t="s">
        <v>843</v>
      </c>
      <c r="B512" s="4" t="s">
        <v>892</v>
      </c>
      <c r="C512" s="5" t="str">
        <f t="shared" si="79"/>
        <v>29</v>
      </c>
      <c r="D512" s="5" t="str">
        <f t="shared" si="80"/>
        <v>06</v>
      </c>
      <c r="E512" s="4" t="s">
        <v>30</v>
      </c>
      <c r="F512" s="4" t="s">
        <v>31</v>
      </c>
      <c r="G512" s="8" t="str">
        <f t="shared" si="81"/>
        <v>29/06/2021</v>
      </c>
      <c r="H512" s="4" t="s">
        <v>1</v>
      </c>
      <c r="I512" s="4" t="s">
        <v>0</v>
      </c>
      <c r="J512" s="7" t="s">
        <v>894</v>
      </c>
      <c r="K512" s="7" t="s">
        <v>45</v>
      </c>
      <c r="L512" s="9" t="str">
        <f>+VLOOKUP(K512,'[1]BASE DE PROVEEDORES'!$A:$B,2,0)</f>
        <v>JOSE RICARDO ANTONIO MOLINA</v>
      </c>
      <c r="M512" s="10">
        <f>7.43+3.72</f>
        <v>11.15</v>
      </c>
      <c r="N512" s="7" t="s">
        <v>2</v>
      </c>
      <c r="O512" s="7" t="s">
        <v>2</v>
      </c>
      <c r="P512" s="10">
        <v>95.36</v>
      </c>
      <c r="Q512" s="29" t="s">
        <v>2</v>
      </c>
      <c r="R512" s="32" t="s">
        <v>2</v>
      </c>
      <c r="S512" s="32" t="s">
        <v>2</v>
      </c>
      <c r="T512" s="29">
        <f t="shared" si="82"/>
        <v>12.396800000000001</v>
      </c>
      <c r="U512" s="28">
        <f t="shared" si="83"/>
        <v>118.9068</v>
      </c>
      <c r="V512" s="4" t="s">
        <v>3</v>
      </c>
      <c r="X512" s="3">
        <f>+ROUND(T512,2)</f>
        <v>12.4</v>
      </c>
    </row>
    <row r="513" spans="1:24" hidden="1" x14ac:dyDescent="0.25">
      <c r="A513" s="7" t="s">
        <v>843</v>
      </c>
      <c r="B513" s="4" t="s">
        <v>895</v>
      </c>
      <c r="C513" s="5" t="str">
        <f t="shared" ref="C513:C517" si="87">+LEFT(B513,2)</f>
        <v>30</v>
      </c>
      <c r="D513" s="5" t="str">
        <f t="shared" si="80"/>
        <v>06</v>
      </c>
      <c r="E513" s="4" t="s">
        <v>30</v>
      </c>
      <c r="F513" s="4" t="s">
        <v>31</v>
      </c>
      <c r="G513" s="8" t="str">
        <f t="shared" ref="G513:G517" si="88">+C513&amp;F513&amp;D513&amp;F513&amp;E513</f>
        <v>30/06/2021</v>
      </c>
      <c r="H513" s="4" t="s">
        <v>1</v>
      </c>
      <c r="I513" s="4" t="s">
        <v>0</v>
      </c>
      <c r="J513" s="7" t="s">
        <v>896</v>
      </c>
      <c r="K513" s="7" t="s">
        <v>45</v>
      </c>
      <c r="L513" s="9" t="str">
        <f>+VLOOKUP(K513,'[1]BASE DE PROVEEDORES'!$A:$B,2,0)</f>
        <v>JOSE RICARDO ANTONIO MOLINA</v>
      </c>
      <c r="M513" s="10">
        <v>1.2</v>
      </c>
      <c r="N513" s="7" t="s">
        <v>2</v>
      </c>
      <c r="O513" s="7" t="s">
        <v>2</v>
      </c>
      <c r="P513" s="10">
        <v>12.21</v>
      </c>
      <c r="Q513" s="29" t="s">
        <v>2</v>
      </c>
      <c r="R513" s="32" t="s">
        <v>2</v>
      </c>
      <c r="S513" s="32" t="s">
        <v>2</v>
      </c>
      <c r="T513" s="29">
        <f t="shared" si="82"/>
        <v>1.5873000000000002</v>
      </c>
      <c r="U513" s="28">
        <f t="shared" ref="U513:U516" si="89">+M513+P513+T513</f>
        <v>14.997300000000001</v>
      </c>
      <c r="V513" s="4" t="s">
        <v>3</v>
      </c>
      <c r="X513" s="3">
        <f>+ROUND(T513,2)</f>
        <v>1.59</v>
      </c>
    </row>
    <row r="514" spans="1:24" hidden="1" x14ac:dyDescent="0.25">
      <c r="A514" s="7" t="s">
        <v>843</v>
      </c>
      <c r="B514" s="4" t="s">
        <v>895</v>
      </c>
      <c r="C514" s="5" t="str">
        <f t="shared" si="87"/>
        <v>30</v>
      </c>
      <c r="D514" s="5" t="str">
        <f t="shared" si="80"/>
        <v>06</v>
      </c>
      <c r="E514" s="4" t="s">
        <v>30</v>
      </c>
      <c r="F514" s="4" t="s">
        <v>31</v>
      </c>
      <c r="G514" s="8" t="str">
        <f t="shared" si="88"/>
        <v>30/06/2021</v>
      </c>
      <c r="H514" s="4" t="s">
        <v>1</v>
      </c>
      <c r="I514" s="4" t="s">
        <v>0</v>
      </c>
      <c r="J514" s="7" t="s">
        <v>897</v>
      </c>
      <c r="K514" s="7" t="s">
        <v>28</v>
      </c>
      <c r="L514" s="9" t="str">
        <f>+VLOOKUP(K514,'[1]BASE DE PROVEEDORES'!$A:$B,2,0)</f>
        <v xml:space="preserve">ACTIVIDADES PETROLERAS DE EL SALVADOR S.A DE C.V </v>
      </c>
      <c r="M514" s="10">
        <v>3.75</v>
      </c>
      <c r="N514" s="7" t="s">
        <v>2</v>
      </c>
      <c r="O514" s="7" t="s">
        <v>2</v>
      </c>
      <c r="P514" s="10">
        <v>32.08</v>
      </c>
      <c r="Q514" s="29" t="s">
        <v>2</v>
      </c>
      <c r="R514" s="32" t="s">
        <v>2</v>
      </c>
      <c r="S514" s="32" t="s">
        <v>2</v>
      </c>
      <c r="T514" s="29">
        <f t="shared" si="82"/>
        <v>4.1703999999999999</v>
      </c>
      <c r="U514" s="28">
        <f t="shared" si="89"/>
        <v>40.000399999999999</v>
      </c>
      <c r="V514" s="4" t="s">
        <v>3</v>
      </c>
      <c r="X514" s="3">
        <f>+ROUND(T514,2)</f>
        <v>4.17</v>
      </c>
    </row>
    <row r="515" spans="1:24" hidden="1" x14ac:dyDescent="0.25">
      <c r="A515" s="7" t="s">
        <v>843</v>
      </c>
      <c r="B515" s="4" t="s">
        <v>895</v>
      </c>
      <c r="C515" s="5" t="str">
        <f t="shared" si="87"/>
        <v>30</v>
      </c>
      <c r="D515" s="5" t="str">
        <f t="shared" si="80"/>
        <v>06</v>
      </c>
      <c r="E515" s="4" t="s">
        <v>30</v>
      </c>
      <c r="F515" s="4" t="s">
        <v>31</v>
      </c>
      <c r="G515" s="8" t="str">
        <f t="shared" si="88"/>
        <v>30/06/2021</v>
      </c>
      <c r="H515" s="4" t="s">
        <v>1</v>
      </c>
      <c r="I515" s="4" t="s">
        <v>0</v>
      </c>
      <c r="J515" s="7" t="s">
        <v>984</v>
      </c>
      <c r="K515" s="7" t="s">
        <v>172</v>
      </c>
      <c r="L515" s="9" t="str">
        <f>+VLOOKUP(K515,'[1]BASE DE PROVEEDORES'!$A:$B,2,0)</f>
        <v>MANEJO INTEGRAL DE DESECHOS SOLIDOS SEM DE C.V.</v>
      </c>
      <c r="M515" s="10">
        <v>0</v>
      </c>
      <c r="N515" s="7" t="s">
        <v>2</v>
      </c>
      <c r="O515" s="7" t="s">
        <v>2</v>
      </c>
      <c r="P515" s="10">
        <v>58.12</v>
      </c>
      <c r="Q515" s="29" t="s">
        <v>2</v>
      </c>
      <c r="R515" s="32" t="s">
        <v>2</v>
      </c>
      <c r="S515" s="32" t="s">
        <v>2</v>
      </c>
      <c r="T515" s="29">
        <f t="shared" si="82"/>
        <v>7.5556000000000001</v>
      </c>
      <c r="U515" s="28">
        <f t="shared" si="89"/>
        <v>65.675600000000003</v>
      </c>
      <c r="V515" s="4" t="s">
        <v>3</v>
      </c>
    </row>
    <row r="516" spans="1:24" hidden="1" x14ac:dyDescent="0.25">
      <c r="A516" s="7" t="s">
        <v>843</v>
      </c>
      <c r="B516" s="4" t="s">
        <v>892</v>
      </c>
      <c r="C516" s="5" t="str">
        <f t="shared" si="87"/>
        <v>29</v>
      </c>
      <c r="D516" s="5" t="str">
        <f t="shared" ref="D516:D517" si="90">+RIGHT(B516,2)</f>
        <v>06</v>
      </c>
      <c r="E516" s="4" t="s">
        <v>30</v>
      </c>
      <c r="F516" s="4" t="s">
        <v>31</v>
      </c>
      <c r="G516" s="8" t="str">
        <f t="shared" si="88"/>
        <v>29/06/2021</v>
      </c>
      <c r="H516" s="4" t="s">
        <v>1</v>
      </c>
      <c r="I516" s="4" t="s">
        <v>0</v>
      </c>
      <c r="J516" s="7" t="s">
        <v>1138</v>
      </c>
      <c r="K516" s="1" t="s">
        <v>765</v>
      </c>
      <c r="L516" s="9" t="str">
        <f>+VLOOKUP(K516,'[1]BASE DE PROVEEDORES'!$A:$B,2,0)</f>
        <v>FARMACIAS EUROPEAS</v>
      </c>
      <c r="M516" s="10">
        <v>0</v>
      </c>
      <c r="N516" s="7" t="s">
        <v>2</v>
      </c>
      <c r="O516" s="7" t="s">
        <v>2</v>
      </c>
      <c r="P516" s="10">
        <v>35.85</v>
      </c>
      <c r="Q516" s="29" t="s">
        <v>2</v>
      </c>
      <c r="R516" s="32" t="s">
        <v>2</v>
      </c>
      <c r="S516" s="32" t="s">
        <v>2</v>
      </c>
      <c r="T516" s="29">
        <f t="shared" ref="T516:T517" si="91">+P516*0.13</f>
        <v>4.6605000000000008</v>
      </c>
      <c r="U516" s="28">
        <f t="shared" si="89"/>
        <v>40.5105</v>
      </c>
      <c r="V516" s="4" t="s">
        <v>3</v>
      </c>
    </row>
    <row r="517" spans="1:24" hidden="1" x14ac:dyDescent="0.25">
      <c r="A517" s="7" t="s">
        <v>843</v>
      </c>
      <c r="B517" s="4" t="s">
        <v>895</v>
      </c>
      <c r="C517" s="5" t="str">
        <f t="shared" si="87"/>
        <v>30</v>
      </c>
      <c r="D517" s="5" t="str">
        <f t="shared" si="90"/>
        <v>06</v>
      </c>
      <c r="E517" s="4" t="s">
        <v>30</v>
      </c>
      <c r="F517" s="4" t="s">
        <v>31</v>
      </c>
      <c r="G517" s="8" t="str">
        <f t="shared" si="88"/>
        <v>30/06/2021</v>
      </c>
      <c r="H517" s="4" t="s">
        <v>1</v>
      </c>
      <c r="I517" s="4" t="s">
        <v>0</v>
      </c>
      <c r="J517" s="7" t="s">
        <v>1137</v>
      </c>
      <c r="K517" s="7" t="s">
        <v>587</v>
      </c>
      <c r="L517" s="9" t="str">
        <f>+VLOOKUP(K517,'[1]BASE DE PROVEEDORES'!$A:$B,2,0)</f>
        <v>MIRIAN GAMEZ DE MENJIVAR</v>
      </c>
      <c r="M517" s="10">
        <v>0</v>
      </c>
      <c r="N517" s="7" t="s">
        <v>2</v>
      </c>
      <c r="O517" s="7" t="s">
        <v>2</v>
      </c>
      <c r="P517" s="10">
        <v>163.72</v>
      </c>
      <c r="Q517" s="29" t="s">
        <v>2</v>
      </c>
      <c r="R517" s="32" t="s">
        <v>2</v>
      </c>
      <c r="S517" s="32" t="s">
        <v>2</v>
      </c>
      <c r="T517" s="29">
        <f t="shared" si="91"/>
        <v>21.2836</v>
      </c>
      <c r="U517" s="28">
        <f t="shared" ref="U517" si="92">+M517+P517+T517</f>
        <v>185.00360000000001</v>
      </c>
      <c r="V517" s="4" t="s">
        <v>3</v>
      </c>
    </row>
    <row r="518" spans="1:24" x14ac:dyDescent="0.25">
      <c r="A518" s="7" t="s">
        <v>1145</v>
      </c>
      <c r="B518" s="4" t="s">
        <v>1146</v>
      </c>
      <c r="C518" s="5" t="str">
        <f t="shared" ref="C518:C549" si="93">+LEFT(B518,2)</f>
        <v>01</v>
      </c>
      <c r="D518" s="5" t="str">
        <f t="shared" ref="D518:D549" si="94">+RIGHT(B518,2)</f>
        <v>07</v>
      </c>
      <c r="E518" s="4" t="s">
        <v>30</v>
      </c>
      <c r="F518" s="4" t="s">
        <v>31</v>
      </c>
      <c r="G518" s="8" t="str">
        <f t="shared" ref="G518:G549" si="95">+C518&amp;F518&amp;D518&amp;F518&amp;E518</f>
        <v>01/07/2021</v>
      </c>
      <c r="H518" s="4" t="s">
        <v>1</v>
      </c>
      <c r="I518" s="4" t="s">
        <v>0</v>
      </c>
      <c r="J518" s="7" t="s">
        <v>1147</v>
      </c>
      <c r="K518" s="7" t="s">
        <v>45</v>
      </c>
      <c r="L518" s="9" t="str">
        <f>+VLOOKUP(K518,'[1]BASE DE PROVEEDORES'!$A:$B,2,0)</f>
        <v>JOSE RICARDO ANTONIO MOLINA</v>
      </c>
      <c r="M518" s="73">
        <f>7.51+3.75</f>
        <v>11.26</v>
      </c>
      <c r="N518" s="7" t="s">
        <v>2</v>
      </c>
      <c r="O518" s="7" t="s">
        <v>2</v>
      </c>
      <c r="P518" s="10">
        <v>96.34</v>
      </c>
      <c r="Q518" s="29" t="s">
        <v>2</v>
      </c>
      <c r="R518" s="32" t="s">
        <v>2</v>
      </c>
      <c r="S518" s="32" t="s">
        <v>2</v>
      </c>
      <c r="T518" s="29">
        <f t="shared" ref="T518:T549" si="96">+P518*0.13</f>
        <v>12.5242</v>
      </c>
      <c r="U518" s="28">
        <f t="shared" ref="U518:U549" si="97">+M518+P518+T518</f>
        <v>120.1242</v>
      </c>
      <c r="V518" s="4" t="s">
        <v>3</v>
      </c>
    </row>
    <row r="519" spans="1:24" x14ac:dyDescent="0.25">
      <c r="A519" s="7" t="s">
        <v>1145</v>
      </c>
      <c r="B519" s="4" t="s">
        <v>1146</v>
      </c>
      <c r="C519" s="5" t="str">
        <f t="shared" si="93"/>
        <v>01</v>
      </c>
      <c r="D519" s="5" t="str">
        <f t="shared" si="94"/>
        <v>07</v>
      </c>
      <c r="E519" s="4" t="s">
        <v>30</v>
      </c>
      <c r="F519" s="4" t="s">
        <v>31</v>
      </c>
      <c r="G519" s="8" t="str">
        <f t="shared" si="95"/>
        <v>01/07/2021</v>
      </c>
      <c r="H519" s="4" t="s">
        <v>1</v>
      </c>
      <c r="I519" s="4" t="s">
        <v>0</v>
      </c>
      <c r="J519" s="7" t="s">
        <v>1227</v>
      </c>
      <c r="K519" s="74" t="s">
        <v>28</v>
      </c>
      <c r="L519" s="9" t="str">
        <f>+VLOOKUP(K519,'[1]BASE DE PROVEEDORES'!$A:$B,2,0)</f>
        <v xml:space="preserve">ACTIVIDADES PETROLERAS DE EL SALVADOR S.A DE C.V </v>
      </c>
      <c r="M519" s="73">
        <v>5.73</v>
      </c>
      <c r="N519" s="7" t="s">
        <v>2</v>
      </c>
      <c r="O519" s="7" t="s">
        <v>2</v>
      </c>
      <c r="P519" s="10">
        <v>48.92</v>
      </c>
      <c r="Q519" s="29" t="s">
        <v>2</v>
      </c>
      <c r="R519" s="32" t="s">
        <v>2</v>
      </c>
      <c r="S519" s="32" t="s">
        <v>2</v>
      </c>
      <c r="T519" s="29">
        <f t="shared" si="96"/>
        <v>6.3596000000000004</v>
      </c>
      <c r="U519" s="28">
        <f t="shared" si="97"/>
        <v>61.009600000000006</v>
      </c>
      <c r="V519" s="4" t="s">
        <v>3</v>
      </c>
    </row>
    <row r="520" spans="1:24" x14ac:dyDescent="0.25">
      <c r="A520" s="7" t="s">
        <v>1145</v>
      </c>
      <c r="B520" s="4" t="s">
        <v>1146</v>
      </c>
      <c r="C520" s="5" t="str">
        <f t="shared" si="93"/>
        <v>01</v>
      </c>
      <c r="D520" s="5" t="str">
        <f t="shared" si="94"/>
        <v>07</v>
      </c>
      <c r="E520" s="4" t="s">
        <v>30</v>
      </c>
      <c r="F520" s="4" t="s">
        <v>31</v>
      </c>
      <c r="G520" s="8" t="str">
        <f t="shared" si="95"/>
        <v>01/07/2021</v>
      </c>
      <c r="H520" s="4" t="s">
        <v>1</v>
      </c>
      <c r="I520" s="4" t="s">
        <v>0</v>
      </c>
      <c r="J520" s="7" t="s">
        <v>1242</v>
      </c>
      <c r="K520" s="7" t="s">
        <v>957</v>
      </c>
      <c r="L520" s="9" t="str">
        <f>+VLOOKUP(K520,'[1]BASE DE PROVEEDORES'!$A:$B,2,0)</f>
        <v>REPUESTOS CASTILLO S.A DE C.V.</v>
      </c>
      <c r="M520" s="73" t="s">
        <v>2</v>
      </c>
      <c r="N520" s="7" t="s">
        <v>2</v>
      </c>
      <c r="O520" s="7" t="s">
        <v>2</v>
      </c>
      <c r="P520" s="10">
        <v>5.31</v>
      </c>
      <c r="Q520" s="29" t="s">
        <v>2</v>
      </c>
      <c r="R520" s="32" t="s">
        <v>2</v>
      </c>
      <c r="S520" s="32" t="s">
        <v>2</v>
      </c>
      <c r="T520" s="29">
        <f t="shared" si="96"/>
        <v>0.69030000000000002</v>
      </c>
      <c r="U520" s="28">
        <f t="shared" si="97"/>
        <v>6.0002999999999993</v>
      </c>
      <c r="V520" s="4" t="s">
        <v>3</v>
      </c>
    </row>
    <row r="521" spans="1:24" x14ac:dyDescent="0.25">
      <c r="A521" s="7" t="s">
        <v>1145</v>
      </c>
      <c r="B521" s="4" t="s">
        <v>1146</v>
      </c>
      <c r="C521" s="5" t="str">
        <f t="shared" si="93"/>
        <v>01</v>
      </c>
      <c r="D521" s="5" t="str">
        <f t="shared" si="94"/>
        <v>07</v>
      </c>
      <c r="E521" s="4" t="s">
        <v>30</v>
      </c>
      <c r="F521" s="4" t="s">
        <v>31</v>
      </c>
      <c r="G521" s="8" t="str">
        <f t="shared" si="95"/>
        <v>01/07/2021</v>
      </c>
      <c r="H521" s="4" t="s">
        <v>1</v>
      </c>
      <c r="I521" s="4" t="s">
        <v>0</v>
      </c>
      <c r="J521" s="7" t="s">
        <v>1282</v>
      </c>
      <c r="K521" s="7" t="s">
        <v>126</v>
      </c>
      <c r="L521" s="9" t="str">
        <f>+VLOOKUP(K521,'[1]BASE DE PROVEEDORES'!$A:$B,2,0)</f>
        <v>REPUESTOS IZALCO S.A DE C.V.</v>
      </c>
      <c r="M521" s="73" t="s">
        <v>2</v>
      </c>
      <c r="N521" s="7" t="s">
        <v>2</v>
      </c>
      <c r="O521" s="7" t="s">
        <v>2</v>
      </c>
      <c r="P521" s="10">
        <v>84.6</v>
      </c>
      <c r="Q521" s="29" t="s">
        <v>2</v>
      </c>
      <c r="R521" s="32" t="s">
        <v>2</v>
      </c>
      <c r="S521" s="32" t="s">
        <v>2</v>
      </c>
      <c r="T521" s="29">
        <f t="shared" si="96"/>
        <v>10.997999999999999</v>
      </c>
      <c r="U521" s="28">
        <f t="shared" si="97"/>
        <v>95.597999999999999</v>
      </c>
      <c r="V521" s="4" t="s">
        <v>3</v>
      </c>
    </row>
    <row r="522" spans="1:24" x14ac:dyDescent="0.25">
      <c r="A522" s="7" t="s">
        <v>1145</v>
      </c>
      <c r="B522" s="4" t="s">
        <v>1146</v>
      </c>
      <c r="C522" s="5" t="str">
        <f t="shared" si="93"/>
        <v>01</v>
      </c>
      <c r="D522" s="5" t="str">
        <f t="shared" si="94"/>
        <v>07</v>
      </c>
      <c r="E522" s="4" t="s">
        <v>30</v>
      </c>
      <c r="F522" s="4" t="s">
        <v>31</v>
      </c>
      <c r="G522" s="8" t="str">
        <f t="shared" si="95"/>
        <v>01/07/2021</v>
      </c>
      <c r="H522" s="4" t="s">
        <v>1</v>
      </c>
      <c r="I522" s="4" t="s">
        <v>0</v>
      </c>
      <c r="J522" s="7" t="s">
        <v>1313</v>
      </c>
      <c r="K522" s="7" t="s">
        <v>172</v>
      </c>
      <c r="L522" s="9" t="str">
        <f>+VLOOKUP(K522,'[1]BASE DE PROVEEDORES'!$A:$B,2,0)</f>
        <v>MANEJO INTEGRAL DE DESECHOS SOLIDOS SEM DE C.V.</v>
      </c>
      <c r="M522" s="73" t="s">
        <v>2</v>
      </c>
      <c r="N522" s="7" t="s">
        <v>2</v>
      </c>
      <c r="O522" s="7" t="s">
        <v>2</v>
      </c>
      <c r="P522" s="10">
        <v>29.48</v>
      </c>
      <c r="Q522" s="29" t="s">
        <v>2</v>
      </c>
      <c r="R522" s="32" t="s">
        <v>2</v>
      </c>
      <c r="S522" s="32" t="s">
        <v>2</v>
      </c>
      <c r="T522" s="29">
        <f t="shared" si="96"/>
        <v>3.8324000000000003</v>
      </c>
      <c r="U522" s="28">
        <f t="shared" si="97"/>
        <v>33.312400000000004</v>
      </c>
      <c r="V522" s="4" t="s">
        <v>3</v>
      </c>
    </row>
    <row r="523" spans="1:24" x14ac:dyDescent="0.25">
      <c r="A523" s="7" t="s">
        <v>1145</v>
      </c>
      <c r="B523" s="4" t="s">
        <v>1148</v>
      </c>
      <c r="C523" s="5" t="str">
        <f t="shared" si="93"/>
        <v>02</v>
      </c>
      <c r="D523" s="5" t="str">
        <f t="shared" si="94"/>
        <v>07</v>
      </c>
      <c r="E523" s="4" t="s">
        <v>30</v>
      </c>
      <c r="F523" s="4" t="s">
        <v>31</v>
      </c>
      <c r="G523" s="8" t="str">
        <f t="shared" si="95"/>
        <v>02/07/2021</v>
      </c>
      <c r="H523" s="4" t="s">
        <v>1</v>
      </c>
      <c r="I523" s="4" t="s">
        <v>0</v>
      </c>
      <c r="J523" s="7" t="s">
        <v>1149</v>
      </c>
      <c r="K523" s="7" t="s">
        <v>45</v>
      </c>
      <c r="L523" s="9" t="str">
        <f>+VLOOKUP(K523,'[1]BASE DE PROVEEDORES'!$A:$B,2,0)</f>
        <v>JOSE RICARDO ANTONIO MOLINA</v>
      </c>
      <c r="M523" s="73">
        <f>6.14+3.07</f>
        <v>9.2099999999999991</v>
      </c>
      <c r="N523" s="7" t="s">
        <v>2</v>
      </c>
      <c r="O523" s="7" t="s">
        <v>2</v>
      </c>
      <c r="P523" s="10">
        <v>78.78</v>
      </c>
      <c r="Q523" s="29" t="s">
        <v>2</v>
      </c>
      <c r="R523" s="32" t="s">
        <v>2</v>
      </c>
      <c r="S523" s="32" t="s">
        <v>2</v>
      </c>
      <c r="T523" s="29">
        <f t="shared" si="96"/>
        <v>10.241400000000001</v>
      </c>
      <c r="U523" s="28">
        <f t="shared" si="97"/>
        <v>98.231399999999994</v>
      </c>
      <c r="V523" s="4" t="s">
        <v>3</v>
      </c>
    </row>
    <row r="524" spans="1:24" x14ac:dyDescent="0.25">
      <c r="A524" s="7" t="s">
        <v>1145</v>
      </c>
      <c r="B524" s="4" t="s">
        <v>1148</v>
      </c>
      <c r="C524" s="5" t="str">
        <f t="shared" si="93"/>
        <v>02</v>
      </c>
      <c r="D524" s="5" t="str">
        <f t="shared" si="94"/>
        <v>07</v>
      </c>
      <c r="E524" s="4" t="s">
        <v>30</v>
      </c>
      <c r="F524" s="4" t="s">
        <v>31</v>
      </c>
      <c r="G524" s="8" t="str">
        <f t="shared" si="95"/>
        <v>02/07/2021</v>
      </c>
      <c r="H524" s="4" t="s">
        <v>1</v>
      </c>
      <c r="I524" s="4" t="s">
        <v>0</v>
      </c>
      <c r="J524" s="7" t="s">
        <v>1226</v>
      </c>
      <c r="K524" s="74" t="s">
        <v>28</v>
      </c>
      <c r="L524" s="9" t="str">
        <f>+VLOOKUP(K524,'[1]BASE DE PROVEEDORES'!$A:$B,2,0)</f>
        <v xml:space="preserve">ACTIVIDADES PETROLERAS DE EL SALVADOR S.A DE C.V </v>
      </c>
      <c r="M524" s="73">
        <v>6.73</v>
      </c>
      <c r="N524" s="7" t="s">
        <v>2</v>
      </c>
      <c r="O524" s="7" t="s">
        <v>2</v>
      </c>
      <c r="P524" s="10">
        <v>57.53</v>
      </c>
      <c r="Q524" s="29" t="s">
        <v>2</v>
      </c>
      <c r="R524" s="32" t="s">
        <v>2</v>
      </c>
      <c r="S524" s="32" t="s">
        <v>2</v>
      </c>
      <c r="T524" s="29">
        <f t="shared" si="96"/>
        <v>7.4789000000000003</v>
      </c>
      <c r="U524" s="28">
        <f t="shared" si="97"/>
        <v>71.738900000000001</v>
      </c>
      <c r="V524" s="4" t="s">
        <v>3</v>
      </c>
    </row>
    <row r="525" spans="1:24" x14ac:dyDescent="0.25">
      <c r="A525" s="7" t="s">
        <v>1145</v>
      </c>
      <c r="B525" s="4" t="s">
        <v>1148</v>
      </c>
      <c r="C525" s="5" t="str">
        <f t="shared" si="93"/>
        <v>02</v>
      </c>
      <c r="D525" s="5" t="str">
        <f t="shared" si="94"/>
        <v>07</v>
      </c>
      <c r="E525" s="4" t="s">
        <v>30</v>
      </c>
      <c r="F525" s="4" t="s">
        <v>31</v>
      </c>
      <c r="G525" s="8" t="str">
        <f t="shared" si="95"/>
        <v>02/07/2021</v>
      </c>
      <c r="H525" s="4" t="s">
        <v>1</v>
      </c>
      <c r="I525" s="4" t="s">
        <v>0</v>
      </c>
      <c r="J525" s="7" t="s">
        <v>1230</v>
      </c>
      <c r="K525" s="7" t="s">
        <v>1231</v>
      </c>
      <c r="L525" s="9" t="str">
        <f>+VLOOKUP(K525,'[1]BASE DE PROVEEDORES'!$A:$B,2,0)</f>
        <v>MIGUEL ANGEL WILLIAM ALFARO CABRERA</v>
      </c>
      <c r="M525" s="73" t="s">
        <v>2</v>
      </c>
      <c r="N525" s="7" t="s">
        <v>2</v>
      </c>
      <c r="O525" s="7" t="s">
        <v>2</v>
      </c>
      <c r="P525" s="10">
        <v>101.77</v>
      </c>
      <c r="Q525" s="29" t="s">
        <v>2</v>
      </c>
      <c r="R525" s="32" t="s">
        <v>2</v>
      </c>
      <c r="S525" s="32" t="s">
        <v>2</v>
      </c>
      <c r="T525" s="29">
        <f t="shared" si="96"/>
        <v>13.2301</v>
      </c>
      <c r="U525" s="28">
        <f t="shared" si="97"/>
        <v>115.0001</v>
      </c>
      <c r="V525" s="4" t="s">
        <v>3</v>
      </c>
    </row>
    <row r="526" spans="1:24" x14ac:dyDescent="0.25">
      <c r="A526" s="7" t="s">
        <v>1145</v>
      </c>
      <c r="B526" s="4" t="s">
        <v>1148</v>
      </c>
      <c r="C526" s="5" t="str">
        <f t="shared" si="93"/>
        <v>02</v>
      </c>
      <c r="D526" s="5" t="str">
        <f t="shared" si="94"/>
        <v>07</v>
      </c>
      <c r="E526" s="4" t="s">
        <v>30</v>
      </c>
      <c r="F526" s="4" t="s">
        <v>31</v>
      </c>
      <c r="G526" s="8" t="str">
        <f t="shared" si="95"/>
        <v>02/07/2021</v>
      </c>
      <c r="H526" s="4" t="s">
        <v>1</v>
      </c>
      <c r="I526" s="4" t="s">
        <v>0</v>
      </c>
      <c r="J526" s="7" t="s">
        <v>1251</v>
      </c>
      <c r="K526" s="7" t="s">
        <v>575</v>
      </c>
      <c r="L526" s="9" t="str">
        <f>+VLOOKUP(K526,'[1]BASE DE PROVEEDORES'!$A:$B,2,0)</f>
        <v>TELEMOVIL EL SALVADOR S.A DE C.V.</v>
      </c>
      <c r="M526" s="73" t="s">
        <v>2</v>
      </c>
      <c r="N526" s="7" t="s">
        <v>2</v>
      </c>
      <c r="O526" s="7" t="s">
        <v>2</v>
      </c>
      <c r="P526" s="10">
        <v>28.99</v>
      </c>
      <c r="Q526" s="29" t="s">
        <v>2</v>
      </c>
      <c r="R526" s="32" t="s">
        <v>2</v>
      </c>
      <c r="S526" s="32" t="s">
        <v>2</v>
      </c>
      <c r="T526" s="29">
        <f t="shared" si="96"/>
        <v>3.7686999999999999</v>
      </c>
      <c r="U526" s="28">
        <f t="shared" si="97"/>
        <v>32.758699999999997</v>
      </c>
      <c r="V526" s="4" t="s">
        <v>3</v>
      </c>
    </row>
    <row r="527" spans="1:24" x14ac:dyDescent="0.25">
      <c r="A527" s="7" t="s">
        <v>1145</v>
      </c>
      <c r="B527" s="4" t="s">
        <v>1148</v>
      </c>
      <c r="C527" s="5" t="str">
        <f t="shared" si="93"/>
        <v>02</v>
      </c>
      <c r="D527" s="5" t="str">
        <f t="shared" si="94"/>
        <v>07</v>
      </c>
      <c r="E527" s="4" t="s">
        <v>30</v>
      </c>
      <c r="F527" s="4" t="s">
        <v>31</v>
      </c>
      <c r="G527" s="8" t="str">
        <f t="shared" si="95"/>
        <v>02/07/2021</v>
      </c>
      <c r="H527" s="4" t="s">
        <v>1</v>
      </c>
      <c r="I527" s="4" t="s">
        <v>0</v>
      </c>
      <c r="J527" s="7" t="s">
        <v>1252</v>
      </c>
      <c r="K527" s="7" t="s">
        <v>21</v>
      </c>
      <c r="L527" s="9" t="str">
        <f>+VLOOKUP(K527,'[1]BASE DE PROVEEDORES'!$A:$B,2,0)</f>
        <v>FREUND S.A DE C.V.</v>
      </c>
      <c r="M527" s="73" t="s">
        <v>2</v>
      </c>
      <c r="N527" s="7" t="s">
        <v>2</v>
      </c>
      <c r="O527" s="7" t="s">
        <v>2</v>
      </c>
      <c r="P527" s="10">
        <v>29.27</v>
      </c>
      <c r="Q527" s="29" t="s">
        <v>2</v>
      </c>
      <c r="R527" s="32" t="s">
        <v>2</v>
      </c>
      <c r="S527" s="32" t="s">
        <v>2</v>
      </c>
      <c r="T527" s="29">
        <f t="shared" si="96"/>
        <v>3.8050999999999999</v>
      </c>
      <c r="U527" s="28">
        <f t="shared" si="97"/>
        <v>33.075099999999999</v>
      </c>
      <c r="V527" s="4" t="s">
        <v>3</v>
      </c>
    </row>
    <row r="528" spans="1:24" x14ac:dyDescent="0.25">
      <c r="A528" s="7" t="s">
        <v>1145</v>
      </c>
      <c r="B528" s="4" t="s">
        <v>1148</v>
      </c>
      <c r="C528" s="5" t="str">
        <f t="shared" si="93"/>
        <v>02</v>
      </c>
      <c r="D528" s="5" t="str">
        <f t="shared" si="94"/>
        <v>07</v>
      </c>
      <c r="E528" s="4" t="s">
        <v>30</v>
      </c>
      <c r="F528" s="4" t="s">
        <v>31</v>
      </c>
      <c r="G528" s="8" t="str">
        <f t="shared" si="95"/>
        <v>02/07/2021</v>
      </c>
      <c r="H528" s="4" t="s">
        <v>1</v>
      </c>
      <c r="I528" s="4" t="s">
        <v>0</v>
      </c>
      <c r="J528" s="7" t="s">
        <v>1300</v>
      </c>
      <c r="K528" s="7" t="s">
        <v>157</v>
      </c>
      <c r="L528" s="9" t="str">
        <f>+VLOOKUP(K528,'[1]BASE DE PROVEEDORES'!$A:$B,2,0)</f>
        <v>DISTRIBUIDORA PAREDES VELA S.A DE C.V.</v>
      </c>
      <c r="M528" s="73" t="s">
        <v>2</v>
      </c>
      <c r="N528" s="7" t="s">
        <v>2</v>
      </c>
      <c r="O528" s="7" t="s">
        <v>2</v>
      </c>
      <c r="P528" s="10">
        <v>490.75</v>
      </c>
      <c r="Q528" s="29" t="s">
        <v>2</v>
      </c>
      <c r="R528" s="32" t="s">
        <v>2</v>
      </c>
      <c r="S528" s="32" t="s">
        <v>2</v>
      </c>
      <c r="T528" s="29">
        <f t="shared" si="96"/>
        <v>63.797499999999999</v>
      </c>
      <c r="U528" s="28">
        <f t="shared" si="97"/>
        <v>554.54750000000001</v>
      </c>
      <c r="V528" s="4" t="s">
        <v>3</v>
      </c>
    </row>
    <row r="529" spans="1:22" x14ac:dyDescent="0.25">
      <c r="A529" s="7" t="s">
        <v>1145</v>
      </c>
      <c r="B529" s="4" t="s">
        <v>1148</v>
      </c>
      <c r="C529" s="5" t="str">
        <f t="shared" si="93"/>
        <v>02</v>
      </c>
      <c r="D529" s="5" t="str">
        <f t="shared" si="94"/>
        <v>07</v>
      </c>
      <c r="E529" s="4" t="s">
        <v>30</v>
      </c>
      <c r="F529" s="4" t="s">
        <v>31</v>
      </c>
      <c r="G529" s="8" t="str">
        <f t="shared" si="95"/>
        <v>02/07/2021</v>
      </c>
      <c r="H529" s="4" t="s">
        <v>1</v>
      </c>
      <c r="I529" s="4" t="s">
        <v>0</v>
      </c>
      <c r="J529" s="7" t="s">
        <v>1304</v>
      </c>
      <c r="K529" s="7" t="s">
        <v>172</v>
      </c>
      <c r="L529" s="9" t="str">
        <f>+VLOOKUP(K529,'[1]BASE DE PROVEEDORES'!$A:$B,2,0)</f>
        <v>MANEJO INTEGRAL DE DESECHOS SOLIDOS SEM DE C.V.</v>
      </c>
      <c r="M529" s="73" t="s">
        <v>2</v>
      </c>
      <c r="N529" s="7" t="s">
        <v>2</v>
      </c>
      <c r="O529" s="7" t="s">
        <v>2</v>
      </c>
      <c r="P529" s="10">
        <v>49.14</v>
      </c>
      <c r="Q529" s="29" t="s">
        <v>2</v>
      </c>
      <c r="R529" s="32" t="s">
        <v>2</v>
      </c>
      <c r="S529" s="32" t="s">
        <v>2</v>
      </c>
      <c r="T529" s="29">
        <f t="shared" si="96"/>
        <v>6.3882000000000003</v>
      </c>
      <c r="U529" s="28">
        <f t="shared" si="97"/>
        <v>55.528199999999998</v>
      </c>
      <c r="V529" s="4" t="s">
        <v>3</v>
      </c>
    </row>
    <row r="530" spans="1:22" x14ac:dyDescent="0.25">
      <c r="A530" s="7" t="s">
        <v>1145</v>
      </c>
      <c r="B530" s="4" t="s">
        <v>851</v>
      </c>
      <c r="C530" s="5" t="str">
        <f t="shared" si="93"/>
        <v>03</v>
      </c>
      <c r="D530" s="5" t="str">
        <f t="shared" si="94"/>
        <v>06</v>
      </c>
      <c r="E530" s="4" t="s">
        <v>30</v>
      </c>
      <c r="F530" s="4" t="s">
        <v>31</v>
      </c>
      <c r="G530" s="8" t="str">
        <f t="shared" si="95"/>
        <v>03/06/2021</v>
      </c>
      <c r="H530" s="4" t="s">
        <v>1</v>
      </c>
      <c r="I530" s="4" t="s">
        <v>0</v>
      </c>
      <c r="J530" s="7" t="s">
        <v>1249</v>
      </c>
      <c r="K530" s="7" t="s">
        <v>575</v>
      </c>
      <c r="L530" s="9" t="str">
        <f>+VLOOKUP(K530,'[1]BASE DE PROVEEDORES'!$A:$B,2,0)</f>
        <v>TELEMOVIL EL SALVADOR S.A DE C.V.</v>
      </c>
      <c r="M530" s="73" t="s">
        <v>2</v>
      </c>
      <c r="N530" s="7" t="s">
        <v>2</v>
      </c>
      <c r="O530" s="7" t="s">
        <v>2</v>
      </c>
      <c r="P530" s="10">
        <v>28.64</v>
      </c>
      <c r="Q530" s="29" t="s">
        <v>2</v>
      </c>
      <c r="R530" s="32" t="s">
        <v>2</v>
      </c>
      <c r="S530" s="32" t="s">
        <v>2</v>
      </c>
      <c r="T530" s="29">
        <f t="shared" si="96"/>
        <v>3.7232000000000003</v>
      </c>
      <c r="U530" s="28">
        <f t="shared" si="97"/>
        <v>32.363199999999999</v>
      </c>
      <c r="V530" s="4" t="s">
        <v>3</v>
      </c>
    </row>
    <row r="531" spans="1:22" x14ac:dyDescent="0.25">
      <c r="A531" s="7" t="s">
        <v>1145</v>
      </c>
      <c r="B531" s="4" t="s">
        <v>1224</v>
      </c>
      <c r="C531" s="5" t="str">
        <f t="shared" si="93"/>
        <v>03</v>
      </c>
      <c r="D531" s="5" t="str">
        <f t="shared" si="94"/>
        <v>07</v>
      </c>
      <c r="E531" s="4" t="s">
        <v>30</v>
      </c>
      <c r="F531" s="4" t="s">
        <v>31</v>
      </c>
      <c r="G531" s="8" t="str">
        <f t="shared" si="95"/>
        <v>03/07/2021</v>
      </c>
      <c r="H531" s="4" t="s">
        <v>1</v>
      </c>
      <c r="I531" s="4" t="s">
        <v>0</v>
      </c>
      <c r="J531" s="7" t="s">
        <v>1225</v>
      </c>
      <c r="K531" s="74" t="s">
        <v>28</v>
      </c>
      <c r="L531" s="9" t="str">
        <f>+VLOOKUP(K531,'[1]BASE DE PROVEEDORES'!$A:$B,2,0)</f>
        <v xml:space="preserve">ACTIVIDADES PETROLERAS DE EL SALVADOR S.A DE C.V </v>
      </c>
      <c r="M531" s="73">
        <f>2.67+1.34</f>
        <v>4.01</v>
      </c>
      <c r="N531" s="7" t="s">
        <v>2</v>
      </c>
      <c r="O531" s="7" t="s">
        <v>2</v>
      </c>
      <c r="P531" s="10">
        <v>34.25</v>
      </c>
      <c r="Q531" s="29" t="s">
        <v>2</v>
      </c>
      <c r="R531" s="32" t="s">
        <v>2</v>
      </c>
      <c r="S531" s="32" t="s">
        <v>2</v>
      </c>
      <c r="T531" s="29">
        <f t="shared" si="96"/>
        <v>4.4525000000000006</v>
      </c>
      <c r="U531" s="28">
        <f t="shared" si="97"/>
        <v>42.712499999999999</v>
      </c>
      <c r="V531" s="4" t="s">
        <v>3</v>
      </c>
    </row>
    <row r="532" spans="1:22" x14ac:dyDescent="0.25">
      <c r="A532" s="7" t="s">
        <v>1145</v>
      </c>
      <c r="B532" s="4" t="s">
        <v>1224</v>
      </c>
      <c r="C532" s="5" t="str">
        <f t="shared" si="93"/>
        <v>03</v>
      </c>
      <c r="D532" s="5" t="str">
        <f t="shared" si="94"/>
        <v>07</v>
      </c>
      <c r="E532" s="4" t="s">
        <v>30</v>
      </c>
      <c r="F532" s="4" t="s">
        <v>31</v>
      </c>
      <c r="G532" s="8" t="str">
        <f t="shared" si="95"/>
        <v>03/07/2021</v>
      </c>
      <c r="H532" s="4" t="s">
        <v>1</v>
      </c>
      <c r="I532" s="4" t="s">
        <v>0</v>
      </c>
      <c r="J532" s="7" t="s">
        <v>1273</v>
      </c>
      <c r="K532" s="7" t="s">
        <v>1274</v>
      </c>
      <c r="L532" s="9" t="str">
        <f>+VLOOKUP(K532,'[1]BASE DE PROVEEDORES'!$A:$B,2,0)</f>
        <v>GRUPO NSV S.A DE C.V.</v>
      </c>
      <c r="M532" s="73" t="s">
        <v>2</v>
      </c>
      <c r="N532" s="7" t="s">
        <v>2</v>
      </c>
      <c r="O532" s="7" t="s">
        <v>2</v>
      </c>
      <c r="P532" s="10">
        <v>5.84</v>
      </c>
      <c r="Q532" s="29" t="s">
        <v>2</v>
      </c>
      <c r="R532" s="32" t="s">
        <v>2</v>
      </c>
      <c r="S532" s="32" t="s">
        <v>2</v>
      </c>
      <c r="T532" s="29">
        <f t="shared" si="96"/>
        <v>0.75919999999999999</v>
      </c>
      <c r="U532" s="28">
        <f t="shared" si="97"/>
        <v>6.5991999999999997</v>
      </c>
      <c r="V532" s="4" t="s">
        <v>3</v>
      </c>
    </row>
    <row r="533" spans="1:22" x14ac:dyDescent="0.25">
      <c r="A533" s="7" t="s">
        <v>1145</v>
      </c>
      <c r="B533" s="4" t="s">
        <v>1224</v>
      </c>
      <c r="C533" s="5" t="str">
        <f t="shared" si="93"/>
        <v>03</v>
      </c>
      <c r="D533" s="5" t="str">
        <f t="shared" si="94"/>
        <v>07</v>
      </c>
      <c r="E533" s="4" t="s">
        <v>30</v>
      </c>
      <c r="F533" s="4" t="s">
        <v>31</v>
      </c>
      <c r="G533" s="8" t="str">
        <f t="shared" si="95"/>
        <v>03/07/2021</v>
      </c>
      <c r="H533" s="4" t="s">
        <v>1</v>
      </c>
      <c r="I533" s="4" t="s">
        <v>0</v>
      </c>
      <c r="J533" s="7" t="s">
        <v>1314</v>
      </c>
      <c r="K533" s="7" t="s">
        <v>172</v>
      </c>
      <c r="L533" s="9" t="str">
        <f>+VLOOKUP(K533,'[1]BASE DE PROVEEDORES'!$A:$B,2,0)</f>
        <v>MANEJO INTEGRAL DE DESECHOS SOLIDOS SEM DE C.V.</v>
      </c>
      <c r="M533" s="73" t="s">
        <v>2</v>
      </c>
      <c r="N533" s="7" t="s">
        <v>2</v>
      </c>
      <c r="O533" s="7" t="s">
        <v>2</v>
      </c>
      <c r="P533" s="10">
        <v>39.03</v>
      </c>
      <c r="Q533" s="29" t="s">
        <v>2</v>
      </c>
      <c r="R533" s="32" t="s">
        <v>2</v>
      </c>
      <c r="S533" s="32" t="s">
        <v>2</v>
      </c>
      <c r="T533" s="29">
        <f t="shared" si="96"/>
        <v>5.0739000000000001</v>
      </c>
      <c r="U533" s="28">
        <f t="shared" si="97"/>
        <v>44.103900000000003</v>
      </c>
      <c r="V533" s="4" t="s">
        <v>3</v>
      </c>
    </row>
    <row r="534" spans="1:22" x14ac:dyDescent="0.25">
      <c r="A534" s="7" t="s">
        <v>1145</v>
      </c>
      <c r="B534" s="4" t="s">
        <v>1224</v>
      </c>
      <c r="C534" s="5" t="str">
        <f t="shared" si="93"/>
        <v>03</v>
      </c>
      <c r="D534" s="5" t="str">
        <f t="shared" si="94"/>
        <v>07</v>
      </c>
      <c r="E534" s="4" t="s">
        <v>30</v>
      </c>
      <c r="F534" s="4" t="s">
        <v>31</v>
      </c>
      <c r="G534" s="8" t="str">
        <f t="shared" si="95"/>
        <v>03/07/2021</v>
      </c>
      <c r="H534" s="4" t="s">
        <v>1</v>
      </c>
      <c r="I534" s="4" t="s">
        <v>0</v>
      </c>
      <c r="J534" s="7" t="s">
        <v>1331</v>
      </c>
      <c r="K534" s="7" t="s">
        <v>172</v>
      </c>
      <c r="L534" s="9" t="str">
        <f>+VLOOKUP(K534,'[1]BASE DE PROVEEDORES'!$A:$B,2,0)</f>
        <v>MANEJO INTEGRAL DE DESECHOS SOLIDOS SEM DE C.V.</v>
      </c>
      <c r="M534" s="73" t="s">
        <v>2</v>
      </c>
      <c r="N534" s="7" t="s">
        <v>2</v>
      </c>
      <c r="O534" s="7" t="s">
        <v>2</v>
      </c>
      <c r="P534" s="10">
        <v>56.26</v>
      </c>
      <c r="Q534" s="29" t="s">
        <v>2</v>
      </c>
      <c r="R534" s="32" t="s">
        <v>2</v>
      </c>
      <c r="S534" s="32" t="s">
        <v>2</v>
      </c>
      <c r="T534" s="29">
        <f t="shared" si="96"/>
        <v>7.3137999999999996</v>
      </c>
      <c r="U534" s="28">
        <f t="shared" si="97"/>
        <v>63.573799999999999</v>
      </c>
      <c r="V534" s="4" t="s">
        <v>3</v>
      </c>
    </row>
    <row r="535" spans="1:22" x14ac:dyDescent="0.25">
      <c r="A535" s="7" t="s">
        <v>1145</v>
      </c>
      <c r="B535" s="4" t="s">
        <v>1150</v>
      </c>
      <c r="C535" s="5" t="str">
        <f t="shared" si="93"/>
        <v>04</v>
      </c>
      <c r="D535" s="5" t="str">
        <f t="shared" si="94"/>
        <v>07</v>
      </c>
      <c r="E535" s="4" t="s">
        <v>30</v>
      </c>
      <c r="F535" s="4" t="s">
        <v>31</v>
      </c>
      <c r="G535" s="8" t="str">
        <f t="shared" si="95"/>
        <v>04/07/2021</v>
      </c>
      <c r="H535" s="4" t="s">
        <v>1</v>
      </c>
      <c r="I535" s="4" t="s">
        <v>0</v>
      </c>
      <c r="J535" s="7" t="s">
        <v>1151</v>
      </c>
      <c r="K535" s="7" t="s">
        <v>45</v>
      </c>
      <c r="L535" s="9" t="str">
        <f>+VLOOKUP(K535,'[1]BASE DE PROVEEDORES'!$A:$B,2,0)</f>
        <v>JOSE RICARDO ANTONIO MOLINA</v>
      </c>
      <c r="M535" s="73">
        <f>7.19+3.6</f>
        <v>10.790000000000001</v>
      </c>
      <c r="N535" s="7" t="s">
        <v>2</v>
      </c>
      <c r="O535" s="7" t="s">
        <v>2</v>
      </c>
      <c r="P535" s="10">
        <v>92.26</v>
      </c>
      <c r="Q535" s="29" t="s">
        <v>2</v>
      </c>
      <c r="R535" s="32" t="s">
        <v>2</v>
      </c>
      <c r="S535" s="32" t="s">
        <v>2</v>
      </c>
      <c r="T535" s="29">
        <f t="shared" si="96"/>
        <v>11.9938</v>
      </c>
      <c r="U535" s="28">
        <f t="shared" si="97"/>
        <v>115.0438</v>
      </c>
      <c r="V535" s="4" t="s">
        <v>3</v>
      </c>
    </row>
    <row r="536" spans="1:22" x14ac:dyDescent="0.25">
      <c r="A536" s="7" t="s">
        <v>1145</v>
      </c>
      <c r="B536" s="4" t="s">
        <v>854</v>
      </c>
      <c r="C536" s="5" t="str">
        <f t="shared" si="93"/>
        <v>05</v>
      </c>
      <c r="D536" s="5" t="str">
        <f t="shared" si="94"/>
        <v>06</v>
      </c>
      <c r="E536" s="4" t="s">
        <v>30</v>
      </c>
      <c r="F536" s="4" t="s">
        <v>31</v>
      </c>
      <c r="G536" s="8" t="str">
        <f t="shared" si="95"/>
        <v>05/06/2021</v>
      </c>
      <c r="H536" s="4" t="s">
        <v>1</v>
      </c>
      <c r="I536" s="4" t="s">
        <v>0</v>
      </c>
      <c r="J536" s="7" t="s">
        <v>1238</v>
      </c>
      <c r="K536" s="7" t="s">
        <v>126</v>
      </c>
      <c r="L536" s="9" t="str">
        <f>+VLOOKUP(K536,'[1]BASE DE PROVEEDORES'!$A:$B,2,0)</f>
        <v>REPUESTOS IZALCO S.A DE C.V.</v>
      </c>
      <c r="M536" s="73" t="s">
        <v>2</v>
      </c>
      <c r="N536" s="7" t="s">
        <v>2</v>
      </c>
      <c r="O536" s="7" t="s">
        <v>2</v>
      </c>
      <c r="P536" s="10">
        <v>36.6</v>
      </c>
      <c r="Q536" s="29" t="s">
        <v>2</v>
      </c>
      <c r="R536" s="32" t="s">
        <v>2</v>
      </c>
      <c r="S536" s="32" t="s">
        <v>2</v>
      </c>
      <c r="T536" s="29">
        <f t="shared" si="96"/>
        <v>4.758</v>
      </c>
      <c r="U536" s="28">
        <f t="shared" si="97"/>
        <v>41.358000000000004</v>
      </c>
      <c r="V536" s="4" t="s">
        <v>3</v>
      </c>
    </row>
    <row r="537" spans="1:22" x14ac:dyDescent="0.25">
      <c r="A537" s="7" t="s">
        <v>1145</v>
      </c>
      <c r="B537" s="4" t="s">
        <v>1152</v>
      </c>
      <c r="C537" s="5" t="str">
        <f t="shared" si="93"/>
        <v>05</v>
      </c>
      <c r="D537" s="5" t="str">
        <f t="shared" si="94"/>
        <v>07</v>
      </c>
      <c r="E537" s="4" t="s">
        <v>30</v>
      </c>
      <c r="F537" s="4" t="s">
        <v>31</v>
      </c>
      <c r="G537" s="8" t="str">
        <f t="shared" si="95"/>
        <v>05/07/2021</v>
      </c>
      <c r="H537" s="4" t="s">
        <v>1</v>
      </c>
      <c r="I537" s="4" t="s">
        <v>0</v>
      </c>
      <c r="J537" s="7" t="s">
        <v>1153</v>
      </c>
      <c r="K537" s="7" t="s">
        <v>45</v>
      </c>
      <c r="L537" s="9" t="str">
        <f>+VLOOKUP(K537,'[1]BASE DE PROVEEDORES'!$A:$B,2,0)</f>
        <v>JOSE RICARDO ANTONIO MOLINA</v>
      </c>
      <c r="M537" s="73">
        <f>0.88+0.44</f>
        <v>1.32</v>
      </c>
      <c r="N537" s="7" t="s">
        <v>2</v>
      </c>
      <c r="O537" s="7" t="s">
        <v>2</v>
      </c>
      <c r="P537" s="10">
        <v>11.23</v>
      </c>
      <c r="Q537" s="29" t="s">
        <v>2</v>
      </c>
      <c r="R537" s="32" t="s">
        <v>2</v>
      </c>
      <c r="S537" s="32" t="s">
        <v>2</v>
      </c>
      <c r="T537" s="29">
        <f t="shared" si="96"/>
        <v>1.4599000000000002</v>
      </c>
      <c r="U537" s="28">
        <f t="shared" si="97"/>
        <v>14.009900000000002</v>
      </c>
      <c r="V537" s="4" t="s">
        <v>3</v>
      </c>
    </row>
    <row r="538" spans="1:22" x14ac:dyDescent="0.25">
      <c r="A538" s="7" t="s">
        <v>1145</v>
      </c>
      <c r="B538" s="4" t="s">
        <v>1152</v>
      </c>
      <c r="C538" s="5" t="str">
        <f t="shared" si="93"/>
        <v>05</v>
      </c>
      <c r="D538" s="5" t="str">
        <f t="shared" si="94"/>
        <v>07</v>
      </c>
      <c r="E538" s="4" t="s">
        <v>30</v>
      </c>
      <c r="F538" s="4" t="s">
        <v>31</v>
      </c>
      <c r="G538" s="8" t="str">
        <f t="shared" si="95"/>
        <v>05/07/2021</v>
      </c>
      <c r="H538" s="4" t="s">
        <v>1</v>
      </c>
      <c r="I538" s="4" t="s">
        <v>0</v>
      </c>
      <c r="J538" s="7" t="s">
        <v>1223</v>
      </c>
      <c r="K538" s="74" t="s">
        <v>28</v>
      </c>
      <c r="L538" s="9" t="str">
        <f>+VLOOKUP(K538,'[1]BASE DE PROVEEDORES'!$A:$B,2,0)</f>
        <v xml:space="preserve">ACTIVIDADES PETROLERAS DE EL SALVADOR S.A DE C.V </v>
      </c>
      <c r="M538" s="73">
        <f>1.06+0.53</f>
        <v>1.59</v>
      </c>
      <c r="N538" s="7" t="s">
        <v>2</v>
      </c>
      <c r="O538" s="7" t="s">
        <v>2</v>
      </c>
      <c r="P538" s="10">
        <v>13.63</v>
      </c>
      <c r="Q538" s="29" t="s">
        <v>2</v>
      </c>
      <c r="R538" s="32" t="s">
        <v>2</v>
      </c>
      <c r="S538" s="32" t="s">
        <v>2</v>
      </c>
      <c r="T538" s="29">
        <f t="shared" si="96"/>
        <v>1.7719000000000003</v>
      </c>
      <c r="U538" s="28">
        <f t="shared" si="97"/>
        <v>16.991900000000001</v>
      </c>
      <c r="V538" s="4" t="s">
        <v>3</v>
      </c>
    </row>
    <row r="539" spans="1:22" x14ac:dyDescent="0.25">
      <c r="A539" s="7" t="s">
        <v>1145</v>
      </c>
      <c r="B539" s="4" t="s">
        <v>1152</v>
      </c>
      <c r="C539" s="5" t="str">
        <f t="shared" si="93"/>
        <v>05</v>
      </c>
      <c r="D539" s="5" t="str">
        <f t="shared" si="94"/>
        <v>07</v>
      </c>
      <c r="E539" s="4" t="s">
        <v>30</v>
      </c>
      <c r="F539" s="4" t="s">
        <v>31</v>
      </c>
      <c r="G539" s="8" t="str">
        <f t="shared" si="95"/>
        <v>05/07/2021</v>
      </c>
      <c r="H539" s="4" t="s">
        <v>1</v>
      </c>
      <c r="I539" s="4" t="s">
        <v>0</v>
      </c>
      <c r="J539" s="7" t="s">
        <v>1292</v>
      </c>
      <c r="K539" s="7" t="s">
        <v>151</v>
      </c>
      <c r="L539" s="9" t="str">
        <f>+VLOOKUP(K539,'[1]BASE DE PROVEEDORES'!$A:$B,2,0)</f>
        <v>REPUESTOS NOE S.A DE C.V.</v>
      </c>
      <c r="M539" s="73" t="s">
        <v>2</v>
      </c>
      <c r="N539" s="7" t="s">
        <v>2</v>
      </c>
      <c r="O539" s="7" t="s">
        <v>2</v>
      </c>
      <c r="P539" s="10">
        <v>54</v>
      </c>
      <c r="Q539" s="29" t="s">
        <v>2</v>
      </c>
      <c r="R539" s="32" t="s">
        <v>2</v>
      </c>
      <c r="S539" s="32" t="s">
        <v>2</v>
      </c>
      <c r="T539" s="29">
        <f t="shared" si="96"/>
        <v>7.0200000000000005</v>
      </c>
      <c r="U539" s="28">
        <f t="shared" si="97"/>
        <v>61.02</v>
      </c>
      <c r="V539" s="4" t="s">
        <v>3</v>
      </c>
    </row>
    <row r="540" spans="1:22" x14ac:dyDescent="0.25">
      <c r="A540" s="7" t="s">
        <v>1145</v>
      </c>
      <c r="B540" s="4" t="s">
        <v>856</v>
      </c>
      <c r="C540" s="5" t="str">
        <f t="shared" si="93"/>
        <v>06</v>
      </c>
      <c r="D540" s="5" t="str">
        <f t="shared" si="94"/>
        <v>06</v>
      </c>
      <c r="E540" s="4" t="s">
        <v>30</v>
      </c>
      <c r="F540" s="4" t="s">
        <v>31</v>
      </c>
      <c r="G540" s="8" t="str">
        <f t="shared" si="95"/>
        <v>06/06/2021</v>
      </c>
      <c r="H540" s="4" t="s">
        <v>1</v>
      </c>
      <c r="I540" s="4" t="s">
        <v>0</v>
      </c>
      <c r="J540" s="7" t="s">
        <v>1237</v>
      </c>
      <c r="K540" s="7" t="s">
        <v>1231</v>
      </c>
      <c r="L540" s="9" t="str">
        <f>+VLOOKUP(K540,'[1]BASE DE PROVEEDORES'!$A:$B,2,0)</f>
        <v>MIGUEL ANGEL WILLIAM ALFARO CABRERA</v>
      </c>
      <c r="M540" s="73" t="s">
        <v>2</v>
      </c>
      <c r="N540" s="7" t="s">
        <v>2</v>
      </c>
      <c r="O540" s="7" t="s">
        <v>2</v>
      </c>
      <c r="P540" s="10">
        <v>45</v>
      </c>
      <c r="Q540" s="29" t="s">
        <v>2</v>
      </c>
      <c r="R540" s="32" t="s">
        <v>2</v>
      </c>
      <c r="S540" s="32" t="s">
        <v>2</v>
      </c>
      <c r="T540" s="29">
        <f t="shared" si="96"/>
        <v>5.8500000000000005</v>
      </c>
      <c r="U540" s="28">
        <f t="shared" si="97"/>
        <v>50.85</v>
      </c>
      <c r="V540" s="4" t="s">
        <v>3</v>
      </c>
    </row>
    <row r="541" spans="1:22" x14ac:dyDescent="0.25">
      <c r="A541" s="7" t="s">
        <v>1145</v>
      </c>
      <c r="B541" s="4" t="s">
        <v>856</v>
      </c>
      <c r="C541" s="5" t="str">
        <f t="shared" si="93"/>
        <v>06</v>
      </c>
      <c r="D541" s="5" t="str">
        <f t="shared" si="94"/>
        <v>06</v>
      </c>
      <c r="E541" s="4" t="s">
        <v>30</v>
      </c>
      <c r="F541" s="4" t="s">
        <v>31</v>
      </c>
      <c r="G541" s="8" t="str">
        <f t="shared" si="95"/>
        <v>06/06/2021</v>
      </c>
      <c r="H541" s="4" t="s">
        <v>1</v>
      </c>
      <c r="I541" s="4" t="s">
        <v>0</v>
      </c>
      <c r="J541" s="7" t="s">
        <v>1266</v>
      </c>
      <c r="K541" s="74" t="s">
        <v>24</v>
      </c>
      <c r="L541" s="9" t="str">
        <f>+VLOOKUP(K541,'[1]BASE DE PROVEEDORES'!$A:$B,2,0)</f>
        <v>ECSA OPERADORA EL SALVADOR S.A DE C.V.</v>
      </c>
      <c r="M541" s="73">
        <v>1.95</v>
      </c>
      <c r="N541" s="7" t="s">
        <v>2</v>
      </c>
      <c r="O541" s="7" t="s">
        <v>2</v>
      </c>
      <c r="P541" s="10">
        <v>15.97</v>
      </c>
      <c r="Q541" s="29" t="s">
        <v>2</v>
      </c>
      <c r="R541" s="32" t="s">
        <v>2</v>
      </c>
      <c r="S541" s="32" t="s">
        <v>2</v>
      </c>
      <c r="T541" s="29">
        <f t="shared" si="96"/>
        <v>2.0761000000000003</v>
      </c>
      <c r="U541" s="28">
        <f t="shared" si="97"/>
        <v>19.996100000000002</v>
      </c>
      <c r="V541" s="4" t="s">
        <v>3</v>
      </c>
    </row>
    <row r="542" spans="1:22" x14ac:dyDescent="0.25">
      <c r="A542" s="7" t="s">
        <v>1145</v>
      </c>
      <c r="B542" s="4" t="s">
        <v>1154</v>
      </c>
      <c r="C542" s="5" t="str">
        <f t="shared" si="93"/>
        <v>06</v>
      </c>
      <c r="D542" s="5" t="str">
        <f t="shared" si="94"/>
        <v>07</v>
      </c>
      <c r="E542" s="4" t="s">
        <v>30</v>
      </c>
      <c r="F542" s="4" t="s">
        <v>31</v>
      </c>
      <c r="G542" s="8" t="str">
        <f t="shared" si="95"/>
        <v>06/07/2021</v>
      </c>
      <c r="H542" s="4" t="s">
        <v>1</v>
      </c>
      <c r="I542" s="4" t="s">
        <v>0</v>
      </c>
      <c r="J542" s="7" t="s">
        <v>1155</v>
      </c>
      <c r="K542" s="7" t="s">
        <v>45</v>
      </c>
      <c r="L542" s="9" t="str">
        <f>+VLOOKUP(K542,'[1]BASE DE PROVEEDORES'!$A:$B,2,0)</f>
        <v>JOSE RICARDO ANTONIO MOLINA</v>
      </c>
      <c r="M542" s="73">
        <f>5.13+2.56</f>
        <v>7.6899999999999995</v>
      </c>
      <c r="N542" s="7" t="s">
        <v>2</v>
      </c>
      <c r="O542" s="7" t="s">
        <v>2</v>
      </c>
      <c r="P542" s="10">
        <v>65.760000000000005</v>
      </c>
      <c r="Q542" s="29" t="s">
        <v>2</v>
      </c>
      <c r="R542" s="32" t="s">
        <v>2</v>
      </c>
      <c r="S542" s="32" t="s">
        <v>2</v>
      </c>
      <c r="T542" s="29">
        <f t="shared" si="96"/>
        <v>8.5488000000000017</v>
      </c>
      <c r="U542" s="28">
        <f t="shared" si="97"/>
        <v>81.998800000000003</v>
      </c>
      <c r="V542" s="4" t="s">
        <v>3</v>
      </c>
    </row>
    <row r="543" spans="1:22" x14ac:dyDescent="0.25">
      <c r="A543" s="7" t="s">
        <v>1145</v>
      </c>
      <c r="B543" s="4" t="s">
        <v>1154</v>
      </c>
      <c r="C543" s="5" t="str">
        <f t="shared" si="93"/>
        <v>06</v>
      </c>
      <c r="D543" s="5" t="str">
        <f t="shared" si="94"/>
        <v>07</v>
      </c>
      <c r="E543" s="4" t="s">
        <v>30</v>
      </c>
      <c r="F543" s="4" t="s">
        <v>31</v>
      </c>
      <c r="G543" s="8" t="str">
        <f t="shared" si="95"/>
        <v>06/07/2021</v>
      </c>
      <c r="H543" s="4" t="s">
        <v>1</v>
      </c>
      <c r="I543" s="4" t="s">
        <v>0</v>
      </c>
      <c r="J543" s="7" t="s">
        <v>1156</v>
      </c>
      <c r="K543" s="7" t="s">
        <v>45</v>
      </c>
      <c r="L543" s="9" t="str">
        <f>+VLOOKUP(K543,'[1]BASE DE PROVEEDORES'!$A:$B,2,0)</f>
        <v>JOSE RICARDO ANTONIO MOLINA</v>
      </c>
      <c r="M543" s="73">
        <f>7.25+3.63</f>
        <v>10.879999999999999</v>
      </c>
      <c r="N543" s="7" t="s">
        <v>2</v>
      </c>
      <c r="O543" s="7" t="s">
        <v>2</v>
      </c>
      <c r="P543" s="10">
        <v>93.09</v>
      </c>
      <c r="Q543" s="29" t="s">
        <v>2</v>
      </c>
      <c r="R543" s="32" t="s">
        <v>2</v>
      </c>
      <c r="S543" s="32" t="s">
        <v>2</v>
      </c>
      <c r="T543" s="29">
        <f t="shared" si="96"/>
        <v>12.101700000000001</v>
      </c>
      <c r="U543" s="28">
        <f t="shared" si="97"/>
        <v>116.07169999999999</v>
      </c>
      <c r="V543" s="4" t="s">
        <v>3</v>
      </c>
    </row>
    <row r="544" spans="1:22" x14ac:dyDescent="0.25">
      <c r="A544" s="7" t="s">
        <v>1145</v>
      </c>
      <c r="B544" s="4" t="s">
        <v>1154</v>
      </c>
      <c r="C544" s="5" t="str">
        <f t="shared" si="93"/>
        <v>06</v>
      </c>
      <c r="D544" s="5" t="str">
        <f t="shared" si="94"/>
        <v>07</v>
      </c>
      <c r="E544" s="4" t="s">
        <v>30</v>
      </c>
      <c r="F544" s="4" t="s">
        <v>31</v>
      </c>
      <c r="G544" s="8" t="str">
        <f t="shared" si="95"/>
        <v>06/07/2021</v>
      </c>
      <c r="H544" s="4" t="s">
        <v>1</v>
      </c>
      <c r="I544" s="4" t="s">
        <v>0</v>
      </c>
      <c r="J544" s="7" t="s">
        <v>1305</v>
      </c>
      <c r="K544" s="7" t="s">
        <v>172</v>
      </c>
      <c r="L544" s="9" t="str">
        <f>+VLOOKUP(K544,'[1]BASE DE PROVEEDORES'!$A:$B,2,0)</f>
        <v>MANEJO INTEGRAL DE DESECHOS SOLIDOS SEM DE C.V.</v>
      </c>
      <c r="M544" s="73" t="s">
        <v>2</v>
      </c>
      <c r="N544" s="7" t="s">
        <v>2</v>
      </c>
      <c r="O544" s="7" t="s">
        <v>2</v>
      </c>
      <c r="P544" s="10">
        <v>61.49</v>
      </c>
      <c r="Q544" s="29" t="s">
        <v>2</v>
      </c>
      <c r="R544" s="32" t="s">
        <v>2</v>
      </c>
      <c r="S544" s="32" t="s">
        <v>2</v>
      </c>
      <c r="T544" s="29">
        <f t="shared" si="96"/>
        <v>7.9937000000000005</v>
      </c>
      <c r="U544" s="28">
        <f t="shared" si="97"/>
        <v>69.483699999999999</v>
      </c>
      <c r="V544" s="4" t="s">
        <v>3</v>
      </c>
    </row>
    <row r="545" spans="1:22" x14ac:dyDescent="0.25">
      <c r="A545" s="7" t="s">
        <v>1145</v>
      </c>
      <c r="B545" s="4" t="s">
        <v>1154</v>
      </c>
      <c r="C545" s="5" t="str">
        <f t="shared" si="93"/>
        <v>06</v>
      </c>
      <c r="D545" s="5" t="str">
        <f t="shared" si="94"/>
        <v>07</v>
      </c>
      <c r="E545" s="4" t="s">
        <v>30</v>
      </c>
      <c r="F545" s="4" t="s">
        <v>31</v>
      </c>
      <c r="G545" s="8" t="str">
        <f t="shared" si="95"/>
        <v>06/07/2021</v>
      </c>
      <c r="H545" s="4" t="s">
        <v>1</v>
      </c>
      <c r="I545" s="4" t="s">
        <v>0</v>
      </c>
      <c r="J545" s="7" t="s">
        <v>1327</v>
      </c>
      <c r="K545" s="7" t="s">
        <v>172</v>
      </c>
      <c r="L545" s="9" t="str">
        <f>+VLOOKUP(K545,'[1]BASE DE PROVEEDORES'!$A:$B,2,0)</f>
        <v>MANEJO INTEGRAL DE DESECHOS SOLIDOS SEM DE C.V.</v>
      </c>
      <c r="M545" s="73" t="s">
        <v>2</v>
      </c>
      <c r="N545" s="7" t="s">
        <v>2</v>
      </c>
      <c r="O545" s="7" t="s">
        <v>2</v>
      </c>
      <c r="P545" s="10">
        <v>56.26</v>
      </c>
      <c r="Q545" s="29" t="s">
        <v>2</v>
      </c>
      <c r="R545" s="32" t="s">
        <v>2</v>
      </c>
      <c r="S545" s="32" t="s">
        <v>2</v>
      </c>
      <c r="T545" s="29">
        <f t="shared" si="96"/>
        <v>7.3137999999999996</v>
      </c>
      <c r="U545" s="28">
        <f t="shared" si="97"/>
        <v>63.573799999999999</v>
      </c>
      <c r="V545" s="4" t="s">
        <v>3</v>
      </c>
    </row>
    <row r="546" spans="1:22" x14ac:dyDescent="0.25">
      <c r="A546" s="7" t="s">
        <v>1145</v>
      </c>
      <c r="B546" s="4" t="s">
        <v>1154</v>
      </c>
      <c r="C546" s="5" t="str">
        <f t="shared" si="93"/>
        <v>06</v>
      </c>
      <c r="D546" s="5" t="str">
        <f t="shared" si="94"/>
        <v>07</v>
      </c>
      <c r="E546" s="4" t="s">
        <v>30</v>
      </c>
      <c r="F546" s="4" t="s">
        <v>31</v>
      </c>
      <c r="G546" s="8" t="str">
        <f t="shared" si="95"/>
        <v>06/07/2021</v>
      </c>
      <c r="H546" s="4" t="s">
        <v>1</v>
      </c>
      <c r="I546" s="4" t="s">
        <v>0</v>
      </c>
      <c r="J546" s="7" t="s">
        <v>1332</v>
      </c>
      <c r="K546" s="7" t="s">
        <v>172</v>
      </c>
      <c r="L546" s="9" t="str">
        <f>+VLOOKUP(K546,'[1]BASE DE PROVEEDORES'!$A:$B,2,0)</f>
        <v>MANEJO INTEGRAL DE DESECHOS SOLIDOS SEM DE C.V.</v>
      </c>
      <c r="M546" s="73" t="s">
        <v>2</v>
      </c>
      <c r="N546" s="7" t="s">
        <v>2</v>
      </c>
      <c r="O546" s="7" t="s">
        <v>2</v>
      </c>
      <c r="P546" s="10">
        <v>56.26</v>
      </c>
      <c r="Q546" s="29" t="s">
        <v>2</v>
      </c>
      <c r="R546" s="32" t="s">
        <v>2</v>
      </c>
      <c r="S546" s="32" t="s">
        <v>2</v>
      </c>
      <c r="T546" s="29">
        <f t="shared" si="96"/>
        <v>7.3137999999999996</v>
      </c>
      <c r="U546" s="28">
        <f t="shared" si="97"/>
        <v>63.573799999999999</v>
      </c>
      <c r="V546" s="4" t="s">
        <v>3</v>
      </c>
    </row>
    <row r="547" spans="1:22" x14ac:dyDescent="0.25">
      <c r="A547" s="7" t="s">
        <v>1145</v>
      </c>
      <c r="B547" s="4" t="s">
        <v>1275</v>
      </c>
      <c r="C547" s="5" t="str">
        <f t="shared" si="93"/>
        <v>07</v>
      </c>
      <c r="D547" s="5" t="str">
        <f t="shared" si="94"/>
        <v>07</v>
      </c>
      <c r="E547" s="4" t="s">
        <v>30</v>
      </c>
      <c r="F547" s="4" t="s">
        <v>31</v>
      </c>
      <c r="G547" s="8" t="str">
        <f t="shared" si="95"/>
        <v>07/07/2021</v>
      </c>
      <c r="H547" s="4" t="s">
        <v>1</v>
      </c>
      <c r="I547" s="4" t="s">
        <v>0</v>
      </c>
      <c r="J547" s="7" t="s">
        <v>1276</v>
      </c>
      <c r="K547" s="7" t="s">
        <v>1277</v>
      </c>
      <c r="L547" s="9" t="str">
        <f>+VLOOKUP(K547,'[1]BASE DE PROVEEDORES'!$A:$B,2,0)</f>
        <v>LUIGEMI S.A DE C.V.</v>
      </c>
      <c r="M547" s="73">
        <f>1.94+0.97</f>
        <v>2.91</v>
      </c>
      <c r="N547" s="7" t="s">
        <v>2</v>
      </c>
      <c r="O547" s="7" t="s">
        <v>2</v>
      </c>
      <c r="P547" s="10">
        <v>28.51</v>
      </c>
      <c r="Q547" s="29" t="s">
        <v>2</v>
      </c>
      <c r="R547" s="32" t="s">
        <v>2</v>
      </c>
      <c r="S547" s="32" t="s">
        <v>2</v>
      </c>
      <c r="T547" s="29">
        <f t="shared" si="96"/>
        <v>3.7063000000000001</v>
      </c>
      <c r="U547" s="28">
        <f t="shared" si="97"/>
        <v>35.126300000000001</v>
      </c>
      <c r="V547" s="4" t="s">
        <v>3</v>
      </c>
    </row>
    <row r="548" spans="1:22" x14ac:dyDescent="0.25">
      <c r="A548" s="7" t="s">
        <v>1145</v>
      </c>
      <c r="B548" s="4" t="s">
        <v>1275</v>
      </c>
      <c r="C548" s="5" t="str">
        <f t="shared" si="93"/>
        <v>07</v>
      </c>
      <c r="D548" s="5" t="str">
        <f t="shared" si="94"/>
        <v>07</v>
      </c>
      <c r="E548" s="4" t="s">
        <v>30</v>
      </c>
      <c r="F548" s="4" t="s">
        <v>31</v>
      </c>
      <c r="G548" s="8" t="str">
        <f t="shared" si="95"/>
        <v>07/07/2021</v>
      </c>
      <c r="H548" s="4" t="s">
        <v>1</v>
      </c>
      <c r="I548" s="4" t="s">
        <v>0</v>
      </c>
      <c r="J548" s="7" t="s">
        <v>1281</v>
      </c>
      <c r="K548" s="7" t="s">
        <v>126</v>
      </c>
      <c r="L548" s="9" t="str">
        <f>+VLOOKUP(K548,'[1]BASE DE PROVEEDORES'!$A:$B,2,0)</f>
        <v>REPUESTOS IZALCO S.A DE C.V.</v>
      </c>
      <c r="M548" s="73" t="s">
        <v>2</v>
      </c>
      <c r="N548" s="7" t="s">
        <v>2</v>
      </c>
      <c r="O548" s="7" t="s">
        <v>2</v>
      </c>
      <c r="P548" s="10">
        <v>45</v>
      </c>
      <c r="Q548" s="29" t="s">
        <v>2</v>
      </c>
      <c r="R548" s="32" t="s">
        <v>2</v>
      </c>
      <c r="S548" s="32" t="s">
        <v>2</v>
      </c>
      <c r="T548" s="29">
        <f t="shared" si="96"/>
        <v>5.8500000000000005</v>
      </c>
      <c r="U548" s="28">
        <f t="shared" si="97"/>
        <v>50.85</v>
      </c>
      <c r="V548" s="4" t="s">
        <v>3</v>
      </c>
    </row>
    <row r="549" spans="1:22" x14ac:dyDescent="0.25">
      <c r="A549" s="7" t="s">
        <v>1145</v>
      </c>
      <c r="B549" s="4" t="s">
        <v>846</v>
      </c>
      <c r="C549" s="5" t="str">
        <f t="shared" si="93"/>
        <v>08</v>
      </c>
      <c r="D549" s="5" t="str">
        <f t="shared" si="94"/>
        <v>06</v>
      </c>
      <c r="E549" s="4" t="s">
        <v>30</v>
      </c>
      <c r="F549" s="4" t="s">
        <v>31</v>
      </c>
      <c r="G549" s="8" t="str">
        <f t="shared" si="95"/>
        <v>08/06/2021</v>
      </c>
      <c r="H549" s="4" t="s">
        <v>1</v>
      </c>
      <c r="I549" s="4" t="s">
        <v>0</v>
      </c>
      <c r="J549" s="7" t="s">
        <v>251</v>
      </c>
      <c r="K549" s="7" t="s">
        <v>957</v>
      </c>
      <c r="L549" s="9" t="str">
        <f>+VLOOKUP(K549,'[1]BASE DE PROVEEDORES'!$A:$B,2,0)</f>
        <v>REPUESTOS CASTILLO S.A DE C.V.</v>
      </c>
      <c r="M549" s="73" t="s">
        <v>2</v>
      </c>
      <c r="N549" s="7" t="s">
        <v>2</v>
      </c>
      <c r="O549" s="7" t="s">
        <v>2</v>
      </c>
      <c r="P549" s="10">
        <v>8.85</v>
      </c>
      <c r="Q549" s="29" t="s">
        <v>2</v>
      </c>
      <c r="R549" s="32" t="s">
        <v>2</v>
      </c>
      <c r="S549" s="32" t="s">
        <v>2</v>
      </c>
      <c r="T549" s="29">
        <f t="shared" si="96"/>
        <v>1.1505000000000001</v>
      </c>
      <c r="U549" s="28">
        <f t="shared" si="97"/>
        <v>10.000499999999999</v>
      </c>
      <c r="V549" s="4" t="s">
        <v>3</v>
      </c>
    </row>
    <row r="550" spans="1:22" x14ac:dyDescent="0.25">
      <c r="A550" s="7" t="s">
        <v>1145</v>
      </c>
      <c r="B550" s="4" t="s">
        <v>1157</v>
      </c>
      <c r="C550" s="5" t="str">
        <f t="shared" ref="C550:C581" si="98">+LEFT(B550,2)</f>
        <v>08</v>
      </c>
      <c r="D550" s="5" t="str">
        <f t="shared" ref="D550:D581" si="99">+RIGHT(B550,2)</f>
        <v>07</v>
      </c>
      <c r="E550" s="4" t="s">
        <v>30</v>
      </c>
      <c r="F550" s="4" t="s">
        <v>31</v>
      </c>
      <c r="G550" s="8" t="str">
        <f t="shared" ref="G550:G581" si="100">+C550&amp;F550&amp;D550&amp;F550&amp;E550</f>
        <v>08/07/2021</v>
      </c>
      <c r="H550" s="4" t="s">
        <v>1</v>
      </c>
      <c r="I550" s="4" t="s">
        <v>0</v>
      </c>
      <c r="J550" s="7" t="s">
        <v>1158</v>
      </c>
      <c r="K550" s="7" t="s">
        <v>45</v>
      </c>
      <c r="L550" s="9" t="str">
        <f>+VLOOKUP(K550,'[1]BASE DE PROVEEDORES'!$A:$B,2,0)</f>
        <v>JOSE RICARDO ANTONIO MOLINA</v>
      </c>
      <c r="M550" s="73">
        <f>7.17+3.58</f>
        <v>10.75</v>
      </c>
      <c r="N550" s="7" t="s">
        <v>2</v>
      </c>
      <c r="O550" s="7" t="s">
        <v>2</v>
      </c>
      <c r="P550" s="10">
        <v>91.96</v>
      </c>
      <c r="Q550" s="29" t="s">
        <v>2</v>
      </c>
      <c r="R550" s="32" t="s">
        <v>2</v>
      </c>
      <c r="S550" s="32" t="s">
        <v>2</v>
      </c>
      <c r="T550" s="29">
        <f t="shared" ref="T550:T581" si="101">+P550*0.13</f>
        <v>11.954799999999999</v>
      </c>
      <c r="U550" s="28">
        <f t="shared" ref="U550:U581" si="102">+M550+P550+T550</f>
        <v>114.66479999999999</v>
      </c>
      <c r="V550" s="4" t="s">
        <v>3</v>
      </c>
    </row>
    <row r="551" spans="1:22" x14ac:dyDescent="0.25">
      <c r="A551" s="7" t="s">
        <v>1145</v>
      </c>
      <c r="B551" s="4" t="s">
        <v>1157</v>
      </c>
      <c r="C551" s="5" t="str">
        <f t="shared" si="98"/>
        <v>08</v>
      </c>
      <c r="D551" s="5" t="str">
        <f t="shared" si="99"/>
        <v>07</v>
      </c>
      <c r="E551" s="4" t="s">
        <v>30</v>
      </c>
      <c r="F551" s="4" t="s">
        <v>31</v>
      </c>
      <c r="G551" s="8" t="str">
        <f t="shared" si="100"/>
        <v>08/07/2021</v>
      </c>
      <c r="H551" s="4" t="s">
        <v>1</v>
      </c>
      <c r="I551" s="4" t="s">
        <v>0</v>
      </c>
      <c r="J551" s="7" t="s">
        <v>1159</v>
      </c>
      <c r="K551" s="7" t="s">
        <v>45</v>
      </c>
      <c r="L551" s="9" t="str">
        <f>+VLOOKUP(K551,'[1]BASE DE PROVEEDORES'!$A:$B,2,0)</f>
        <v>JOSE RICARDO ANTONIO MOLINA</v>
      </c>
      <c r="M551" s="73">
        <f>1.16+0.58</f>
        <v>1.7399999999999998</v>
      </c>
      <c r="N551" s="7" t="s">
        <v>2</v>
      </c>
      <c r="O551" s="7" t="s">
        <v>2</v>
      </c>
      <c r="P551" s="10">
        <v>14.84</v>
      </c>
      <c r="Q551" s="29" t="s">
        <v>2</v>
      </c>
      <c r="R551" s="32" t="s">
        <v>2</v>
      </c>
      <c r="S551" s="32" t="s">
        <v>2</v>
      </c>
      <c r="T551" s="29">
        <f t="shared" si="101"/>
        <v>1.9292</v>
      </c>
      <c r="U551" s="28">
        <f t="shared" si="102"/>
        <v>18.5092</v>
      </c>
      <c r="V551" s="4" t="s">
        <v>3</v>
      </c>
    </row>
    <row r="552" spans="1:22" x14ac:dyDescent="0.25">
      <c r="A552" s="7" t="s">
        <v>1145</v>
      </c>
      <c r="B552" s="4" t="s">
        <v>1157</v>
      </c>
      <c r="C552" s="5" t="str">
        <f t="shared" si="98"/>
        <v>08</v>
      </c>
      <c r="D552" s="5" t="str">
        <f t="shared" si="99"/>
        <v>07</v>
      </c>
      <c r="E552" s="4" t="s">
        <v>30</v>
      </c>
      <c r="F552" s="4" t="s">
        <v>31</v>
      </c>
      <c r="G552" s="8" t="str">
        <f t="shared" si="100"/>
        <v>08/07/2021</v>
      </c>
      <c r="H552" s="4" t="s">
        <v>1</v>
      </c>
      <c r="I552" s="4" t="s">
        <v>0</v>
      </c>
      <c r="J552" s="7" t="s">
        <v>1222</v>
      </c>
      <c r="K552" s="74" t="s">
        <v>28</v>
      </c>
      <c r="L552" s="9" t="str">
        <f>+VLOOKUP(K552,'[1]BASE DE PROVEEDORES'!$A:$B,2,0)</f>
        <v xml:space="preserve">ACTIVIDADES PETROLERAS DE EL SALVADOR S.A DE C.V </v>
      </c>
      <c r="M552" s="73">
        <f>2.76+1.38</f>
        <v>4.1399999999999997</v>
      </c>
      <c r="N552" s="7" t="s">
        <v>2</v>
      </c>
      <c r="O552" s="7" t="s">
        <v>2</v>
      </c>
      <c r="P552" s="10">
        <v>35.47</v>
      </c>
      <c r="Q552" s="29" t="s">
        <v>2</v>
      </c>
      <c r="R552" s="32" t="s">
        <v>2</v>
      </c>
      <c r="S552" s="32" t="s">
        <v>2</v>
      </c>
      <c r="T552" s="29">
        <f t="shared" si="101"/>
        <v>4.6111000000000004</v>
      </c>
      <c r="U552" s="28">
        <f t="shared" si="102"/>
        <v>44.2211</v>
      </c>
      <c r="V552" s="4" t="s">
        <v>3</v>
      </c>
    </row>
    <row r="553" spans="1:22" x14ac:dyDescent="0.25">
      <c r="A553" s="7" t="s">
        <v>1145</v>
      </c>
      <c r="B553" s="4" t="s">
        <v>1157</v>
      </c>
      <c r="C553" s="5" t="str">
        <f t="shared" si="98"/>
        <v>08</v>
      </c>
      <c r="D553" s="5" t="str">
        <f t="shared" si="99"/>
        <v>07</v>
      </c>
      <c r="E553" s="4" t="s">
        <v>30</v>
      </c>
      <c r="F553" s="4" t="s">
        <v>31</v>
      </c>
      <c r="G553" s="8" t="str">
        <f t="shared" si="100"/>
        <v>08/07/2021</v>
      </c>
      <c r="H553" s="4" t="s">
        <v>1</v>
      </c>
      <c r="I553" s="4" t="s">
        <v>0</v>
      </c>
      <c r="J553" s="7" t="s">
        <v>1315</v>
      </c>
      <c r="K553" s="7" t="s">
        <v>172</v>
      </c>
      <c r="L553" s="9" t="str">
        <f>+VLOOKUP(K553,'[1]BASE DE PROVEEDORES'!$A:$B,2,0)</f>
        <v>MANEJO INTEGRAL DE DESECHOS SOLIDOS SEM DE C.V.</v>
      </c>
      <c r="M553" s="73" t="s">
        <v>2</v>
      </c>
      <c r="N553" s="7" t="s">
        <v>2</v>
      </c>
      <c r="O553" s="7" t="s">
        <v>2</v>
      </c>
      <c r="P553" s="10">
        <v>66.540000000000006</v>
      </c>
      <c r="Q553" s="29" t="s">
        <v>2</v>
      </c>
      <c r="R553" s="32" t="s">
        <v>2</v>
      </c>
      <c r="S553" s="32" t="s">
        <v>2</v>
      </c>
      <c r="T553" s="29">
        <f t="shared" si="101"/>
        <v>8.6502000000000017</v>
      </c>
      <c r="U553" s="28">
        <f t="shared" si="102"/>
        <v>75.190200000000004</v>
      </c>
      <c r="V553" s="4" t="s">
        <v>3</v>
      </c>
    </row>
    <row r="554" spans="1:22" x14ac:dyDescent="0.25">
      <c r="A554" s="7" t="s">
        <v>1145</v>
      </c>
      <c r="B554" s="4" t="s">
        <v>1157</v>
      </c>
      <c r="C554" s="5" t="str">
        <f t="shared" si="98"/>
        <v>08</v>
      </c>
      <c r="D554" s="5" t="str">
        <f t="shared" si="99"/>
        <v>07</v>
      </c>
      <c r="E554" s="4" t="s">
        <v>30</v>
      </c>
      <c r="F554" s="4" t="s">
        <v>31</v>
      </c>
      <c r="G554" s="8" t="str">
        <f t="shared" si="100"/>
        <v>08/07/2021</v>
      </c>
      <c r="H554" s="4" t="s">
        <v>1</v>
      </c>
      <c r="I554" s="4" t="s">
        <v>0</v>
      </c>
      <c r="J554" s="7" t="s">
        <v>1316</v>
      </c>
      <c r="K554" s="7" t="s">
        <v>172</v>
      </c>
      <c r="L554" s="9" t="str">
        <f>+VLOOKUP(K554,'[1]BASE DE PROVEEDORES'!$A:$B,2,0)</f>
        <v>MANEJO INTEGRAL DE DESECHOS SOLIDOS SEM DE C.V.</v>
      </c>
      <c r="M554" s="73" t="s">
        <v>2</v>
      </c>
      <c r="N554" s="7" t="s">
        <v>2</v>
      </c>
      <c r="O554" s="7" t="s">
        <v>2</v>
      </c>
      <c r="P554" s="10">
        <v>28.08</v>
      </c>
      <c r="Q554" s="29" t="s">
        <v>2</v>
      </c>
      <c r="R554" s="32" t="s">
        <v>2</v>
      </c>
      <c r="S554" s="32" t="s">
        <v>2</v>
      </c>
      <c r="T554" s="29">
        <f t="shared" si="101"/>
        <v>3.6503999999999999</v>
      </c>
      <c r="U554" s="28">
        <f t="shared" si="102"/>
        <v>31.730399999999999</v>
      </c>
      <c r="V554" s="4" t="s">
        <v>3</v>
      </c>
    </row>
    <row r="555" spans="1:22" x14ac:dyDescent="0.25">
      <c r="A555" s="7" t="s">
        <v>1145</v>
      </c>
      <c r="B555" s="4" t="s">
        <v>1157</v>
      </c>
      <c r="C555" s="5" t="str">
        <f t="shared" si="98"/>
        <v>08</v>
      </c>
      <c r="D555" s="5" t="str">
        <f t="shared" si="99"/>
        <v>07</v>
      </c>
      <c r="E555" s="4" t="s">
        <v>30</v>
      </c>
      <c r="F555" s="4" t="s">
        <v>31</v>
      </c>
      <c r="G555" s="8" t="str">
        <f t="shared" si="100"/>
        <v>08/07/2021</v>
      </c>
      <c r="H555" s="4" t="s">
        <v>1</v>
      </c>
      <c r="I555" s="4" t="s">
        <v>0</v>
      </c>
      <c r="J555" s="7" t="s">
        <v>1339</v>
      </c>
      <c r="K555" s="7" t="s">
        <v>172</v>
      </c>
      <c r="L555" s="9" t="str">
        <f>+VLOOKUP(K555,'[1]BASE DE PROVEEDORES'!$A:$B,2,0)</f>
        <v>MANEJO INTEGRAL DE DESECHOS SOLIDOS SEM DE C.V.</v>
      </c>
      <c r="M555" s="73" t="s">
        <v>2</v>
      </c>
      <c r="N555" s="7" t="s">
        <v>2</v>
      </c>
      <c r="O555" s="7" t="s">
        <v>2</v>
      </c>
      <c r="P555" s="10">
        <v>28.08</v>
      </c>
      <c r="Q555" s="29" t="s">
        <v>2</v>
      </c>
      <c r="R555" s="32" t="s">
        <v>2</v>
      </c>
      <c r="S555" s="32" t="s">
        <v>2</v>
      </c>
      <c r="T555" s="29">
        <f t="shared" si="101"/>
        <v>3.6503999999999999</v>
      </c>
      <c r="U555" s="28">
        <f t="shared" si="102"/>
        <v>31.730399999999999</v>
      </c>
      <c r="V555" s="4" t="s">
        <v>3</v>
      </c>
    </row>
    <row r="556" spans="1:22" x14ac:dyDescent="0.25">
      <c r="A556" s="7" t="s">
        <v>1145</v>
      </c>
      <c r="B556" s="4" t="s">
        <v>1157</v>
      </c>
      <c r="C556" s="5" t="str">
        <f t="shared" si="98"/>
        <v>08</v>
      </c>
      <c r="D556" s="5" t="str">
        <f t="shared" si="99"/>
        <v>07</v>
      </c>
      <c r="E556" s="4" t="s">
        <v>30</v>
      </c>
      <c r="F556" s="4" t="s">
        <v>31</v>
      </c>
      <c r="G556" s="8" t="str">
        <f t="shared" si="100"/>
        <v>08/07/2021</v>
      </c>
      <c r="H556" s="4" t="s">
        <v>1</v>
      </c>
      <c r="I556" s="4" t="s">
        <v>0</v>
      </c>
      <c r="J556" s="7" t="s">
        <v>1401</v>
      </c>
      <c r="K556" s="7" t="s">
        <v>211</v>
      </c>
      <c r="L556" s="9" t="str">
        <f>+VLOOKUP(K556,'[1]BASE DE PROVEEDORES'!$A:$B,2,0)</f>
        <v>SEGUROS E INVERSIONES S.A</v>
      </c>
      <c r="M556" s="73" t="s">
        <v>2</v>
      </c>
      <c r="N556" s="7" t="s">
        <v>2</v>
      </c>
      <c r="O556" s="7" t="s">
        <v>2</v>
      </c>
      <c r="P556" s="10">
        <v>158.63999999999999</v>
      </c>
      <c r="Q556" s="29" t="s">
        <v>2</v>
      </c>
      <c r="R556" s="32" t="s">
        <v>2</v>
      </c>
      <c r="S556" s="32" t="s">
        <v>2</v>
      </c>
      <c r="T556" s="29">
        <f t="shared" si="101"/>
        <v>20.623200000000001</v>
      </c>
      <c r="U556" s="28">
        <f t="shared" si="102"/>
        <v>179.26319999999998</v>
      </c>
      <c r="V556" s="4" t="s">
        <v>3</v>
      </c>
    </row>
    <row r="557" spans="1:22" x14ac:dyDescent="0.25">
      <c r="A557" s="7" t="s">
        <v>1145</v>
      </c>
      <c r="B557" s="4" t="s">
        <v>1160</v>
      </c>
      <c r="C557" s="5" t="str">
        <f t="shared" si="98"/>
        <v>09</v>
      </c>
      <c r="D557" s="5" t="str">
        <f t="shared" si="99"/>
        <v>07</v>
      </c>
      <c r="E557" s="4" t="s">
        <v>30</v>
      </c>
      <c r="F557" s="4" t="s">
        <v>31</v>
      </c>
      <c r="G557" s="8" t="str">
        <f t="shared" si="100"/>
        <v>09/07/2021</v>
      </c>
      <c r="H557" s="4" t="s">
        <v>1</v>
      </c>
      <c r="I557" s="4" t="s">
        <v>0</v>
      </c>
      <c r="J557" s="7" t="s">
        <v>1161</v>
      </c>
      <c r="K557" s="7" t="s">
        <v>45</v>
      </c>
      <c r="L557" s="9" t="str">
        <f>+VLOOKUP(K557,'[1]BASE DE PROVEEDORES'!$A:$B,2,0)</f>
        <v>JOSE RICARDO ANTONIO MOLINA</v>
      </c>
      <c r="M557" s="73">
        <f>7.04+3.52</f>
        <v>10.56</v>
      </c>
      <c r="N557" s="7" t="s">
        <v>2</v>
      </c>
      <c r="O557" s="7" t="s">
        <v>2</v>
      </c>
      <c r="P557" s="10">
        <v>90.29</v>
      </c>
      <c r="Q557" s="29" t="s">
        <v>2</v>
      </c>
      <c r="R557" s="32" t="s">
        <v>2</v>
      </c>
      <c r="S557" s="32" t="s">
        <v>2</v>
      </c>
      <c r="T557" s="29">
        <f t="shared" si="101"/>
        <v>11.737700000000002</v>
      </c>
      <c r="U557" s="28">
        <f t="shared" si="102"/>
        <v>112.58770000000001</v>
      </c>
      <c r="V557" s="4" t="s">
        <v>3</v>
      </c>
    </row>
    <row r="558" spans="1:22" x14ac:dyDescent="0.25">
      <c r="A558" s="7" t="s">
        <v>1145</v>
      </c>
      <c r="B558" s="4" t="s">
        <v>1160</v>
      </c>
      <c r="C558" s="5" t="str">
        <f t="shared" si="98"/>
        <v>09</v>
      </c>
      <c r="D558" s="5" t="str">
        <f t="shared" si="99"/>
        <v>07</v>
      </c>
      <c r="E558" s="4" t="s">
        <v>30</v>
      </c>
      <c r="F558" s="4" t="s">
        <v>31</v>
      </c>
      <c r="G558" s="8" t="str">
        <f t="shared" si="100"/>
        <v>09/07/2021</v>
      </c>
      <c r="H558" s="4" t="s">
        <v>1</v>
      </c>
      <c r="I558" s="4" t="s">
        <v>0</v>
      </c>
      <c r="J558" s="7" t="s">
        <v>1235</v>
      </c>
      <c r="K558" s="7" t="s">
        <v>750</v>
      </c>
      <c r="L558" s="9" t="str">
        <f>+VLOOKUP(K558,'[1]BASE DE PROVEEDORES'!$A:$B,2,0)</f>
        <v>CALLEJA S.A DE C.V.</v>
      </c>
      <c r="M558" s="73" t="s">
        <v>2</v>
      </c>
      <c r="N558" s="7" t="s">
        <v>2</v>
      </c>
      <c r="O558" s="7" t="s">
        <v>2</v>
      </c>
      <c r="P558" s="10">
        <v>15.5</v>
      </c>
      <c r="Q558" s="29" t="s">
        <v>2</v>
      </c>
      <c r="R558" s="32" t="s">
        <v>2</v>
      </c>
      <c r="S558" s="32" t="s">
        <v>2</v>
      </c>
      <c r="T558" s="29">
        <f t="shared" si="101"/>
        <v>2.0150000000000001</v>
      </c>
      <c r="U558" s="28">
        <f t="shared" si="102"/>
        <v>17.515000000000001</v>
      </c>
      <c r="V558" s="4" t="s">
        <v>3</v>
      </c>
    </row>
    <row r="559" spans="1:22" x14ac:dyDescent="0.25">
      <c r="A559" s="7" t="s">
        <v>1145</v>
      </c>
      <c r="B559" s="4" t="s">
        <v>1160</v>
      </c>
      <c r="C559" s="5" t="str">
        <f t="shared" si="98"/>
        <v>09</v>
      </c>
      <c r="D559" s="5" t="str">
        <f t="shared" si="99"/>
        <v>07</v>
      </c>
      <c r="E559" s="4" t="s">
        <v>30</v>
      </c>
      <c r="F559" s="4" t="s">
        <v>31</v>
      </c>
      <c r="G559" s="8" t="str">
        <f t="shared" si="100"/>
        <v>09/07/2021</v>
      </c>
      <c r="H559" s="4" t="s">
        <v>1</v>
      </c>
      <c r="I559" s="4" t="s">
        <v>0</v>
      </c>
      <c r="J559" s="7" t="s">
        <v>1279</v>
      </c>
      <c r="K559" s="7" t="s">
        <v>126</v>
      </c>
      <c r="L559" s="9" t="str">
        <f>+VLOOKUP(K559,'[1]BASE DE PROVEEDORES'!$A:$B,2,0)</f>
        <v>REPUESTOS IZALCO S.A DE C.V.</v>
      </c>
      <c r="M559" s="73" t="s">
        <v>2</v>
      </c>
      <c r="N559" s="7" t="s">
        <v>2</v>
      </c>
      <c r="O559" s="7" t="s">
        <v>2</v>
      </c>
      <c r="P559" s="10">
        <v>29.7</v>
      </c>
      <c r="Q559" s="29" t="s">
        <v>2</v>
      </c>
      <c r="R559" s="32" t="s">
        <v>2</v>
      </c>
      <c r="S559" s="32" t="s">
        <v>2</v>
      </c>
      <c r="T559" s="29">
        <f t="shared" si="101"/>
        <v>3.8610000000000002</v>
      </c>
      <c r="U559" s="28">
        <f t="shared" si="102"/>
        <v>33.561</v>
      </c>
      <c r="V559" s="4" t="s">
        <v>3</v>
      </c>
    </row>
    <row r="560" spans="1:22" x14ac:dyDescent="0.25">
      <c r="A560" s="7" t="s">
        <v>1145</v>
      </c>
      <c r="B560" s="4" t="s">
        <v>1160</v>
      </c>
      <c r="C560" s="5" t="str">
        <f t="shared" si="98"/>
        <v>09</v>
      </c>
      <c r="D560" s="5" t="str">
        <f t="shared" si="99"/>
        <v>07</v>
      </c>
      <c r="E560" s="4" t="s">
        <v>30</v>
      </c>
      <c r="F560" s="4" t="s">
        <v>31</v>
      </c>
      <c r="G560" s="8" t="str">
        <f t="shared" si="100"/>
        <v>09/07/2021</v>
      </c>
      <c r="H560" s="4" t="s">
        <v>1</v>
      </c>
      <c r="I560" s="4" t="s">
        <v>0</v>
      </c>
      <c r="J560" s="7" t="s">
        <v>1306</v>
      </c>
      <c r="K560" s="7" t="s">
        <v>172</v>
      </c>
      <c r="L560" s="9" t="str">
        <f>+VLOOKUP(K560,'[1]BASE DE PROVEEDORES'!$A:$B,2,0)</f>
        <v>MANEJO INTEGRAL DE DESECHOS SOLIDOS SEM DE C.V.</v>
      </c>
      <c r="M560" s="73" t="s">
        <v>2</v>
      </c>
      <c r="N560" s="7" t="s">
        <v>2</v>
      </c>
      <c r="O560" s="7" t="s">
        <v>2</v>
      </c>
      <c r="P560" s="10">
        <v>46.89</v>
      </c>
      <c r="Q560" s="29" t="s">
        <v>2</v>
      </c>
      <c r="R560" s="32" t="s">
        <v>2</v>
      </c>
      <c r="S560" s="32" t="s">
        <v>2</v>
      </c>
      <c r="T560" s="29">
        <f t="shared" si="101"/>
        <v>6.0956999999999999</v>
      </c>
      <c r="U560" s="28">
        <f t="shared" si="102"/>
        <v>52.985700000000001</v>
      </c>
      <c r="V560" s="4" t="s">
        <v>3</v>
      </c>
    </row>
    <row r="561" spans="1:22" x14ac:dyDescent="0.25">
      <c r="A561" s="7" t="s">
        <v>1145</v>
      </c>
      <c r="B561" s="4" t="s">
        <v>1160</v>
      </c>
      <c r="C561" s="5" t="str">
        <f t="shared" si="98"/>
        <v>09</v>
      </c>
      <c r="D561" s="5" t="str">
        <f t="shared" si="99"/>
        <v>07</v>
      </c>
      <c r="E561" s="4" t="s">
        <v>30</v>
      </c>
      <c r="F561" s="4" t="s">
        <v>31</v>
      </c>
      <c r="G561" s="8" t="str">
        <f t="shared" si="100"/>
        <v>09/07/2021</v>
      </c>
      <c r="H561" s="4" t="s">
        <v>1</v>
      </c>
      <c r="I561" s="4" t="s">
        <v>0</v>
      </c>
      <c r="J561" s="7" t="s">
        <v>1333</v>
      </c>
      <c r="K561" s="7" t="s">
        <v>172</v>
      </c>
      <c r="L561" s="9" t="str">
        <f>+VLOOKUP(K561,'[1]BASE DE PROVEEDORES'!$A:$B,2,0)</f>
        <v>MANEJO INTEGRAL DE DESECHOS SOLIDOS SEM DE C.V.</v>
      </c>
      <c r="M561" s="73" t="s">
        <v>2</v>
      </c>
      <c r="N561" s="7" t="s">
        <v>2</v>
      </c>
      <c r="O561" s="7" t="s">
        <v>2</v>
      </c>
      <c r="P561" s="10">
        <v>56.26</v>
      </c>
      <c r="Q561" s="29" t="s">
        <v>2</v>
      </c>
      <c r="R561" s="32" t="s">
        <v>2</v>
      </c>
      <c r="S561" s="32" t="s">
        <v>2</v>
      </c>
      <c r="T561" s="29">
        <f t="shared" si="101"/>
        <v>7.3137999999999996</v>
      </c>
      <c r="U561" s="28">
        <f t="shared" si="102"/>
        <v>63.573799999999999</v>
      </c>
      <c r="V561" s="4" t="s">
        <v>3</v>
      </c>
    </row>
    <row r="562" spans="1:22" x14ac:dyDescent="0.25">
      <c r="A562" s="7" t="s">
        <v>1145</v>
      </c>
      <c r="B562" s="4" t="s">
        <v>863</v>
      </c>
      <c r="C562" s="5" t="str">
        <f t="shared" si="98"/>
        <v>10</v>
      </c>
      <c r="D562" s="5" t="str">
        <f t="shared" si="99"/>
        <v>06</v>
      </c>
      <c r="E562" s="4" t="s">
        <v>30</v>
      </c>
      <c r="F562" s="4" t="s">
        <v>31</v>
      </c>
      <c r="G562" s="8" t="str">
        <f t="shared" si="100"/>
        <v>10/06/2021</v>
      </c>
      <c r="H562" s="4" t="s">
        <v>1</v>
      </c>
      <c r="I562" s="4" t="s">
        <v>0</v>
      </c>
      <c r="J562" s="7" t="s">
        <v>1268</v>
      </c>
      <c r="K562" s="7" t="s">
        <v>1269</v>
      </c>
      <c r="L562" s="9" t="str">
        <f>+VLOOKUP(K562,'[1]BASE DE PROVEEDORES'!$A:$B,2,0)</f>
        <v>FRANCISCO JAVIER PORTILLO T</v>
      </c>
      <c r="M562" s="73">
        <v>12.1</v>
      </c>
      <c r="N562" s="7" t="s">
        <v>2</v>
      </c>
      <c r="O562" s="7" t="s">
        <v>2</v>
      </c>
      <c r="P562" s="10">
        <v>99.91</v>
      </c>
      <c r="Q562" s="29" t="s">
        <v>2</v>
      </c>
      <c r="R562" s="32" t="s">
        <v>2</v>
      </c>
      <c r="S562" s="32" t="s">
        <v>2</v>
      </c>
      <c r="T562" s="29">
        <f t="shared" si="101"/>
        <v>12.988300000000001</v>
      </c>
      <c r="U562" s="28">
        <f t="shared" si="102"/>
        <v>124.99829999999999</v>
      </c>
      <c r="V562" s="4" t="s">
        <v>3</v>
      </c>
    </row>
    <row r="563" spans="1:22" x14ac:dyDescent="0.25">
      <c r="A563" s="7" t="s">
        <v>1145</v>
      </c>
      <c r="B563" s="4" t="s">
        <v>199</v>
      </c>
      <c r="C563" s="5" t="str">
        <f t="shared" si="98"/>
        <v>10</v>
      </c>
      <c r="D563" s="5" t="str">
        <f t="shared" si="99"/>
        <v>07</v>
      </c>
      <c r="E563" s="4" t="s">
        <v>30</v>
      </c>
      <c r="F563" s="4" t="s">
        <v>31</v>
      </c>
      <c r="G563" s="8" t="str">
        <f t="shared" si="100"/>
        <v>10/07/2021</v>
      </c>
      <c r="H563" s="4" t="s">
        <v>1</v>
      </c>
      <c r="I563" s="4" t="s">
        <v>0</v>
      </c>
      <c r="J563" s="7" t="s">
        <v>1162</v>
      </c>
      <c r="K563" s="7" t="s">
        <v>45</v>
      </c>
      <c r="L563" s="9" t="str">
        <f>+VLOOKUP(K563,'[1]BASE DE PROVEEDORES'!$A:$B,2,0)</f>
        <v>JOSE RICARDO ANTONIO MOLINA</v>
      </c>
      <c r="M563" s="73">
        <f>5.88+2.94</f>
        <v>8.82</v>
      </c>
      <c r="N563" s="7" t="s">
        <v>2</v>
      </c>
      <c r="O563" s="7" t="s">
        <v>2</v>
      </c>
      <c r="P563" s="10">
        <v>75.39</v>
      </c>
      <c r="Q563" s="29" t="s">
        <v>2</v>
      </c>
      <c r="R563" s="32" t="s">
        <v>2</v>
      </c>
      <c r="S563" s="32" t="s">
        <v>2</v>
      </c>
      <c r="T563" s="29">
        <f t="shared" si="101"/>
        <v>9.8007000000000009</v>
      </c>
      <c r="U563" s="28">
        <f t="shared" si="102"/>
        <v>94.010700000000014</v>
      </c>
      <c r="V563" s="4" t="s">
        <v>3</v>
      </c>
    </row>
    <row r="564" spans="1:22" x14ac:dyDescent="0.25">
      <c r="A564" s="7" t="s">
        <v>1145</v>
      </c>
      <c r="B564" s="4" t="s">
        <v>199</v>
      </c>
      <c r="C564" s="5" t="str">
        <f t="shared" si="98"/>
        <v>10</v>
      </c>
      <c r="D564" s="5" t="str">
        <f t="shared" si="99"/>
        <v>07</v>
      </c>
      <c r="E564" s="4" t="s">
        <v>30</v>
      </c>
      <c r="F564" s="4" t="s">
        <v>31</v>
      </c>
      <c r="G564" s="8" t="str">
        <f t="shared" si="100"/>
        <v>10/07/2021</v>
      </c>
      <c r="H564" s="4" t="s">
        <v>1</v>
      </c>
      <c r="I564" s="4" t="s">
        <v>0</v>
      </c>
      <c r="J564" s="7" t="s">
        <v>1220</v>
      </c>
      <c r="K564" s="74" t="s">
        <v>28</v>
      </c>
      <c r="L564" s="9" t="str">
        <f>+VLOOKUP(K564,'[1]BASE DE PROVEEDORES'!$A:$B,2,0)</f>
        <v xml:space="preserve">ACTIVIDADES PETROLERAS DE EL SALVADOR S.A DE C.V </v>
      </c>
      <c r="M564" s="73">
        <v>5.72</v>
      </c>
      <c r="N564" s="7" t="s">
        <v>2</v>
      </c>
      <c r="O564" s="7" t="s">
        <v>2</v>
      </c>
      <c r="P564" s="10">
        <v>48.92</v>
      </c>
      <c r="Q564" s="29" t="s">
        <v>2</v>
      </c>
      <c r="R564" s="32" t="s">
        <v>2</v>
      </c>
      <c r="S564" s="32" t="s">
        <v>2</v>
      </c>
      <c r="T564" s="29">
        <f t="shared" si="101"/>
        <v>6.3596000000000004</v>
      </c>
      <c r="U564" s="28">
        <f t="shared" si="102"/>
        <v>60.999600000000001</v>
      </c>
      <c r="V564" s="4" t="s">
        <v>3</v>
      </c>
    </row>
    <row r="565" spans="1:22" x14ac:dyDescent="0.25">
      <c r="A565" s="7" t="s">
        <v>1145</v>
      </c>
      <c r="B565" s="4" t="s">
        <v>199</v>
      </c>
      <c r="C565" s="5" t="str">
        <f t="shared" si="98"/>
        <v>10</v>
      </c>
      <c r="D565" s="5" t="str">
        <f t="shared" si="99"/>
        <v>07</v>
      </c>
      <c r="E565" s="4" t="s">
        <v>30</v>
      </c>
      <c r="F565" s="4" t="s">
        <v>31</v>
      </c>
      <c r="G565" s="8" t="str">
        <f t="shared" si="100"/>
        <v>10/07/2021</v>
      </c>
      <c r="H565" s="4" t="s">
        <v>1</v>
      </c>
      <c r="I565" s="4" t="s">
        <v>0</v>
      </c>
      <c r="J565" s="7" t="s">
        <v>1221</v>
      </c>
      <c r="K565" s="74" t="s">
        <v>28</v>
      </c>
      <c r="L565" s="9" t="str">
        <f>+VLOOKUP(K565,'[1]BASE DE PROVEEDORES'!$A:$B,2,0)</f>
        <v xml:space="preserve">ACTIVIDADES PETROLERAS DE EL SALVADOR S.A DE C.V </v>
      </c>
      <c r="M565" s="73">
        <f>2.46+1.23</f>
        <v>3.69</v>
      </c>
      <c r="N565" s="7" t="s">
        <v>2</v>
      </c>
      <c r="O565" s="7" t="s">
        <v>2</v>
      </c>
      <c r="P565" s="10">
        <v>31.56</v>
      </c>
      <c r="Q565" s="29" t="s">
        <v>2</v>
      </c>
      <c r="R565" s="32" t="s">
        <v>2</v>
      </c>
      <c r="S565" s="32" t="s">
        <v>2</v>
      </c>
      <c r="T565" s="29">
        <f t="shared" si="101"/>
        <v>4.1028000000000002</v>
      </c>
      <c r="U565" s="28">
        <f t="shared" si="102"/>
        <v>39.352800000000002</v>
      </c>
      <c r="V565" s="4" t="s">
        <v>3</v>
      </c>
    </row>
    <row r="566" spans="1:22" x14ac:dyDescent="0.25">
      <c r="A566" s="7" t="s">
        <v>1145</v>
      </c>
      <c r="B566" s="4" t="s">
        <v>199</v>
      </c>
      <c r="C566" s="5" t="str">
        <f t="shared" si="98"/>
        <v>10</v>
      </c>
      <c r="D566" s="5" t="str">
        <f t="shared" si="99"/>
        <v>07</v>
      </c>
      <c r="E566" s="4" t="s">
        <v>30</v>
      </c>
      <c r="F566" s="4" t="s">
        <v>31</v>
      </c>
      <c r="G566" s="8" t="str">
        <f t="shared" si="100"/>
        <v>10/07/2021</v>
      </c>
      <c r="H566" s="4" t="s">
        <v>1</v>
      </c>
      <c r="I566" s="4" t="s">
        <v>0</v>
      </c>
      <c r="J566" s="7" t="s">
        <v>1317</v>
      </c>
      <c r="K566" s="7" t="s">
        <v>172</v>
      </c>
      <c r="L566" s="9" t="str">
        <f>+VLOOKUP(K566,'[1]BASE DE PROVEEDORES'!$A:$B,2,0)</f>
        <v>MANEJO INTEGRAL DE DESECHOS SOLIDOS SEM DE C.V.</v>
      </c>
      <c r="M566" s="73" t="s">
        <v>2</v>
      </c>
      <c r="N566" s="7" t="s">
        <v>2</v>
      </c>
      <c r="O566" s="7" t="s">
        <v>2</v>
      </c>
      <c r="P566" s="10">
        <v>47.45</v>
      </c>
      <c r="Q566" s="29" t="s">
        <v>2</v>
      </c>
      <c r="R566" s="32" t="s">
        <v>2</v>
      </c>
      <c r="S566" s="32" t="s">
        <v>2</v>
      </c>
      <c r="T566" s="29">
        <f t="shared" si="101"/>
        <v>6.1685000000000008</v>
      </c>
      <c r="U566" s="28">
        <f t="shared" si="102"/>
        <v>53.618500000000004</v>
      </c>
      <c r="V566" s="4" t="s">
        <v>3</v>
      </c>
    </row>
    <row r="567" spans="1:22" x14ac:dyDescent="0.25">
      <c r="A567" s="7" t="s">
        <v>1145</v>
      </c>
      <c r="B567" s="4" t="s">
        <v>1163</v>
      </c>
      <c r="C567" s="5" t="str">
        <f t="shared" si="98"/>
        <v>11</v>
      </c>
      <c r="D567" s="5" t="str">
        <f t="shared" si="99"/>
        <v>07</v>
      </c>
      <c r="E567" s="4" t="s">
        <v>30</v>
      </c>
      <c r="F567" s="4" t="s">
        <v>31</v>
      </c>
      <c r="G567" s="8" t="str">
        <f t="shared" si="100"/>
        <v>11/07/2021</v>
      </c>
      <c r="H567" s="4" t="s">
        <v>1</v>
      </c>
      <c r="I567" s="4" t="s">
        <v>0</v>
      </c>
      <c r="J567" s="7" t="s">
        <v>1164</v>
      </c>
      <c r="K567" s="7" t="s">
        <v>45</v>
      </c>
      <c r="L567" s="9" t="str">
        <f>+VLOOKUP(K567,'[1]BASE DE PROVEEDORES'!$A:$B,2,0)</f>
        <v>JOSE RICARDO ANTONIO MOLINA</v>
      </c>
      <c r="M567" s="73">
        <f>7+3.5</f>
        <v>10.5</v>
      </c>
      <c r="N567" s="7" t="s">
        <v>2</v>
      </c>
      <c r="O567" s="7" t="s">
        <v>2</v>
      </c>
      <c r="P567" s="10">
        <v>89.84</v>
      </c>
      <c r="Q567" s="29" t="s">
        <v>2</v>
      </c>
      <c r="R567" s="32" t="s">
        <v>2</v>
      </c>
      <c r="S567" s="32" t="s">
        <v>2</v>
      </c>
      <c r="T567" s="29">
        <f t="shared" si="101"/>
        <v>11.679200000000002</v>
      </c>
      <c r="U567" s="28">
        <f t="shared" si="102"/>
        <v>112.01920000000001</v>
      </c>
      <c r="V567" s="4" t="s">
        <v>3</v>
      </c>
    </row>
    <row r="568" spans="1:22" x14ac:dyDescent="0.25">
      <c r="A568" s="7" t="s">
        <v>1145</v>
      </c>
      <c r="B568" s="4" t="s">
        <v>1165</v>
      </c>
      <c r="C568" s="5" t="str">
        <f t="shared" si="98"/>
        <v>12</v>
      </c>
      <c r="D568" s="5" t="str">
        <f t="shared" si="99"/>
        <v>07</v>
      </c>
      <c r="E568" s="4" t="s">
        <v>30</v>
      </c>
      <c r="F568" s="4" t="s">
        <v>31</v>
      </c>
      <c r="G568" s="8" t="str">
        <f t="shared" si="100"/>
        <v>12/07/2021</v>
      </c>
      <c r="H568" s="4" t="s">
        <v>1</v>
      </c>
      <c r="I568" s="4" t="s">
        <v>0</v>
      </c>
      <c r="J568" s="7" t="s">
        <v>1166</v>
      </c>
      <c r="K568" s="7" t="s">
        <v>45</v>
      </c>
      <c r="L568" s="9" t="str">
        <f>+VLOOKUP(K568,'[1]BASE DE PROVEEDORES'!$A:$B,2,0)</f>
        <v>JOSE RICARDO ANTONIO MOLINA</v>
      </c>
      <c r="M568" s="73">
        <f>1.13+0.56</f>
        <v>1.69</v>
      </c>
      <c r="N568" s="7" t="s">
        <v>2</v>
      </c>
      <c r="O568" s="7" t="s">
        <v>2</v>
      </c>
      <c r="P568" s="10">
        <v>14.44</v>
      </c>
      <c r="Q568" s="29" t="s">
        <v>2</v>
      </c>
      <c r="R568" s="32" t="s">
        <v>2</v>
      </c>
      <c r="S568" s="32" t="s">
        <v>2</v>
      </c>
      <c r="T568" s="29">
        <f t="shared" si="101"/>
        <v>1.8772</v>
      </c>
      <c r="U568" s="28">
        <f t="shared" si="102"/>
        <v>18.007199999999997</v>
      </c>
      <c r="V568" s="4" t="s">
        <v>3</v>
      </c>
    </row>
    <row r="569" spans="1:22" x14ac:dyDescent="0.25">
      <c r="A569" s="7" t="s">
        <v>1145</v>
      </c>
      <c r="B569" s="4" t="s">
        <v>1165</v>
      </c>
      <c r="C569" s="5" t="str">
        <f t="shared" si="98"/>
        <v>12</v>
      </c>
      <c r="D569" s="5" t="str">
        <f t="shared" si="99"/>
        <v>07</v>
      </c>
      <c r="E569" s="4" t="s">
        <v>30</v>
      </c>
      <c r="F569" s="4" t="s">
        <v>31</v>
      </c>
      <c r="G569" s="8" t="str">
        <f t="shared" si="100"/>
        <v>12/07/2021</v>
      </c>
      <c r="H569" s="4" t="s">
        <v>1</v>
      </c>
      <c r="I569" s="4" t="s">
        <v>0</v>
      </c>
      <c r="J569" s="7" t="s">
        <v>1219</v>
      </c>
      <c r="K569" s="74" t="s">
        <v>28</v>
      </c>
      <c r="L569" s="9" t="str">
        <f>+VLOOKUP(K569,'[1]BASE DE PROVEEDORES'!$A:$B,2,0)</f>
        <v xml:space="preserve">ACTIVIDADES PETROLERAS DE EL SALVADOR S.A DE C.V </v>
      </c>
      <c r="M569" s="73">
        <f>1.44+0.72</f>
        <v>2.16</v>
      </c>
      <c r="N569" s="7" t="s">
        <v>2</v>
      </c>
      <c r="O569" s="7" t="s">
        <v>2</v>
      </c>
      <c r="P569" s="10">
        <v>18.440000000000001</v>
      </c>
      <c r="Q569" s="29" t="s">
        <v>2</v>
      </c>
      <c r="R569" s="32" t="s">
        <v>2</v>
      </c>
      <c r="S569" s="32" t="s">
        <v>2</v>
      </c>
      <c r="T569" s="29">
        <f t="shared" si="101"/>
        <v>2.3972000000000002</v>
      </c>
      <c r="U569" s="28">
        <f t="shared" si="102"/>
        <v>22.997200000000003</v>
      </c>
      <c r="V569" s="4" t="s">
        <v>3</v>
      </c>
    </row>
    <row r="570" spans="1:22" x14ac:dyDescent="0.25">
      <c r="A570" s="7" t="s">
        <v>1145</v>
      </c>
      <c r="B570" s="4" t="s">
        <v>1165</v>
      </c>
      <c r="C570" s="5" t="str">
        <f t="shared" si="98"/>
        <v>12</v>
      </c>
      <c r="D570" s="5" t="str">
        <f t="shared" si="99"/>
        <v>07</v>
      </c>
      <c r="E570" s="4" t="s">
        <v>30</v>
      </c>
      <c r="F570" s="4" t="s">
        <v>31</v>
      </c>
      <c r="G570" s="8" t="str">
        <f t="shared" si="100"/>
        <v>12/07/2021</v>
      </c>
      <c r="H570" s="4" t="s">
        <v>1</v>
      </c>
      <c r="I570" s="4" t="s">
        <v>0</v>
      </c>
      <c r="J570" s="7" t="s">
        <v>1280</v>
      </c>
      <c r="K570" s="7" t="s">
        <v>126</v>
      </c>
      <c r="L570" s="9" t="str">
        <f>+VLOOKUP(K570,'[1]BASE DE PROVEEDORES'!$A:$B,2,0)</f>
        <v>REPUESTOS IZALCO S.A DE C.V.</v>
      </c>
      <c r="M570" s="73" t="s">
        <v>2</v>
      </c>
      <c r="N570" s="7" t="s">
        <v>2</v>
      </c>
      <c r="O570" s="7" t="s">
        <v>2</v>
      </c>
      <c r="P570" s="10">
        <v>18</v>
      </c>
      <c r="Q570" s="29" t="s">
        <v>2</v>
      </c>
      <c r="R570" s="32" t="s">
        <v>2</v>
      </c>
      <c r="S570" s="32" t="s">
        <v>2</v>
      </c>
      <c r="T570" s="29">
        <f t="shared" si="101"/>
        <v>2.34</v>
      </c>
      <c r="U570" s="28">
        <f t="shared" si="102"/>
        <v>20.34</v>
      </c>
      <c r="V570" s="4" t="s">
        <v>3</v>
      </c>
    </row>
    <row r="571" spans="1:22" x14ac:dyDescent="0.25">
      <c r="A571" s="7" t="s">
        <v>1145</v>
      </c>
      <c r="B571" s="4" t="s">
        <v>1165</v>
      </c>
      <c r="C571" s="5" t="str">
        <f t="shared" si="98"/>
        <v>12</v>
      </c>
      <c r="D571" s="5" t="str">
        <f t="shared" si="99"/>
        <v>07</v>
      </c>
      <c r="E571" s="4" t="s">
        <v>30</v>
      </c>
      <c r="F571" s="4" t="s">
        <v>31</v>
      </c>
      <c r="G571" s="8" t="str">
        <f t="shared" si="100"/>
        <v>12/07/2021</v>
      </c>
      <c r="H571" s="4" t="s">
        <v>1</v>
      </c>
      <c r="I571" s="4" t="s">
        <v>0</v>
      </c>
      <c r="J571" s="7" t="s">
        <v>1328</v>
      </c>
      <c r="K571" s="7" t="s">
        <v>172</v>
      </c>
      <c r="L571" s="9" t="str">
        <f>+VLOOKUP(K571,'[1]BASE DE PROVEEDORES'!$A:$B,2,0)</f>
        <v>MANEJO INTEGRAL DE DESECHOS SOLIDOS SEM DE C.V.</v>
      </c>
      <c r="M571" s="73" t="s">
        <v>2</v>
      </c>
      <c r="N571" s="7" t="s">
        <v>2</v>
      </c>
      <c r="O571" s="7" t="s">
        <v>2</v>
      </c>
      <c r="P571" s="10">
        <v>56.26</v>
      </c>
      <c r="Q571" s="29" t="s">
        <v>2</v>
      </c>
      <c r="R571" s="32" t="s">
        <v>2</v>
      </c>
      <c r="S571" s="32" t="s">
        <v>2</v>
      </c>
      <c r="T571" s="29">
        <f t="shared" si="101"/>
        <v>7.3137999999999996</v>
      </c>
      <c r="U571" s="28">
        <f t="shared" si="102"/>
        <v>63.573799999999999</v>
      </c>
      <c r="V571" s="4" t="s">
        <v>3</v>
      </c>
    </row>
    <row r="572" spans="1:22" x14ac:dyDescent="0.25">
      <c r="A572" s="7" t="s">
        <v>1145</v>
      </c>
      <c r="B572" s="4" t="s">
        <v>1165</v>
      </c>
      <c r="C572" s="5" t="str">
        <f t="shared" si="98"/>
        <v>12</v>
      </c>
      <c r="D572" s="5" t="str">
        <f t="shared" si="99"/>
        <v>07</v>
      </c>
      <c r="E572" s="4" t="s">
        <v>30</v>
      </c>
      <c r="F572" s="4" t="s">
        <v>31</v>
      </c>
      <c r="G572" s="8" t="str">
        <f t="shared" si="100"/>
        <v>12/07/2021</v>
      </c>
      <c r="H572" s="4" t="s">
        <v>1</v>
      </c>
      <c r="I572" s="4" t="s">
        <v>0</v>
      </c>
      <c r="J572" s="7" t="s">
        <v>1334</v>
      </c>
      <c r="K572" s="7" t="s">
        <v>172</v>
      </c>
      <c r="L572" s="9" t="str">
        <f>+VLOOKUP(K572,'[1]BASE DE PROVEEDORES'!$A:$B,2,0)</f>
        <v>MANEJO INTEGRAL DE DESECHOS SOLIDOS SEM DE C.V.</v>
      </c>
      <c r="M572" s="73" t="s">
        <v>2</v>
      </c>
      <c r="N572" s="7" t="s">
        <v>2</v>
      </c>
      <c r="O572" s="7" t="s">
        <v>2</v>
      </c>
      <c r="P572" s="10">
        <v>56.26</v>
      </c>
      <c r="Q572" s="29" t="s">
        <v>2</v>
      </c>
      <c r="R572" s="32" t="s">
        <v>2</v>
      </c>
      <c r="S572" s="32" t="s">
        <v>2</v>
      </c>
      <c r="T572" s="29">
        <f t="shared" si="101"/>
        <v>7.3137999999999996</v>
      </c>
      <c r="U572" s="28">
        <f t="shared" si="102"/>
        <v>63.573799999999999</v>
      </c>
      <c r="V572" s="4" t="s">
        <v>3</v>
      </c>
    </row>
    <row r="573" spans="1:22" x14ac:dyDescent="0.25">
      <c r="A573" s="7" t="s">
        <v>1145</v>
      </c>
      <c r="B573" s="4" t="s">
        <v>1167</v>
      </c>
      <c r="C573" s="5" t="str">
        <f t="shared" si="98"/>
        <v>13</v>
      </c>
      <c r="D573" s="5" t="str">
        <f t="shared" si="99"/>
        <v>07</v>
      </c>
      <c r="E573" s="4" t="s">
        <v>30</v>
      </c>
      <c r="F573" s="4" t="s">
        <v>31</v>
      </c>
      <c r="G573" s="8" t="str">
        <f t="shared" si="100"/>
        <v>13/07/2021</v>
      </c>
      <c r="H573" s="4" t="s">
        <v>1</v>
      </c>
      <c r="I573" s="4" t="s">
        <v>0</v>
      </c>
      <c r="J573" s="7" t="s">
        <v>1168</v>
      </c>
      <c r="K573" s="7" t="s">
        <v>45</v>
      </c>
      <c r="L573" s="9" t="str">
        <f>+VLOOKUP(K573,'[1]BASE DE PROVEEDORES'!$A:$B,2,0)</f>
        <v>JOSE RICARDO ANTONIO MOLINA</v>
      </c>
      <c r="M573" s="73">
        <f>6.36+3.18</f>
        <v>9.5400000000000009</v>
      </c>
      <c r="N573" s="7" t="s">
        <v>2</v>
      </c>
      <c r="O573" s="7" t="s">
        <v>2</v>
      </c>
      <c r="P573" s="10">
        <v>81.83</v>
      </c>
      <c r="Q573" s="29" t="s">
        <v>2</v>
      </c>
      <c r="R573" s="32" t="s">
        <v>2</v>
      </c>
      <c r="S573" s="32" t="s">
        <v>2</v>
      </c>
      <c r="T573" s="29">
        <f t="shared" si="101"/>
        <v>10.6379</v>
      </c>
      <c r="U573" s="28">
        <f t="shared" si="102"/>
        <v>102.00790000000001</v>
      </c>
      <c r="V573" s="4" t="s">
        <v>3</v>
      </c>
    </row>
    <row r="574" spans="1:22" x14ac:dyDescent="0.25">
      <c r="A574" s="7" t="s">
        <v>1145</v>
      </c>
      <c r="B574" s="4" t="s">
        <v>1167</v>
      </c>
      <c r="C574" s="5" t="str">
        <f t="shared" si="98"/>
        <v>13</v>
      </c>
      <c r="D574" s="5" t="str">
        <f t="shared" si="99"/>
        <v>07</v>
      </c>
      <c r="E574" s="4" t="s">
        <v>30</v>
      </c>
      <c r="F574" s="4" t="s">
        <v>31</v>
      </c>
      <c r="G574" s="8" t="str">
        <f t="shared" si="100"/>
        <v>13/07/2021</v>
      </c>
      <c r="H574" s="4" t="s">
        <v>1</v>
      </c>
      <c r="I574" s="4" t="s">
        <v>0</v>
      </c>
      <c r="J574" s="7" t="s">
        <v>1283</v>
      </c>
      <c r="K574" s="7" t="s">
        <v>126</v>
      </c>
      <c r="L574" s="9" t="str">
        <f>+VLOOKUP(K574,'[1]BASE DE PROVEEDORES'!$A:$B,2,0)</f>
        <v>REPUESTOS IZALCO S.A DE C.V.</v>
      </c>
      <c r="M574" s="73" t="s">
        <v>2</v>
      </c>
      <c r="N574" s="7" t="s">
        <v>2</v>
      </c>
      <c r="O574" s="7" t="s">
        <v>2</v>
      </c>
      <c r="P574" s="10">
        <v>13.5</v>
      </c>
      <c r="Q574" s="29" t="s">
        <v>2</v>
      </c>
      <c r="R574" s="32" t="s">
        <v>2</v>
      </c>
      <c r="S574" s="32" t="s">
        <v>2</v>
      </c>
      <c r="T574" s="29">
        <f t="shared" si="101"/>
        <v>1.7550000000000001</v>
      </c>
      <c r="U574" s="28">
        <f t="shared" si="102"/>
        <v>15.255000000000001</v>
      </c>
      <c r="V574" s="4" t="s">
        <v>3</v>
      </c>
    </row>
    <row r="575" spans="1:22" x14ac:dyDescent="0.25">
      <c r="A575" s="7" t="s">
        <v>1145</v>
      </c>
      <c r="B575" s="4" t="s">
        <v>1167</v>
      </c>
      <c r="C575" s="5" t="str">
        <f t="shared" si="98"/>
        <v>13</v>
      </c>
      <c r="D575" s="5" t="str">
        <f t="shared" si="99"/>
        <v>07</v>
      </c>
      <c r="E575" s="4" t="s">
        <v>30</v>
      </c>
      <c r="F575" s="4" t="s">
        <v>31</v>
      </c>
      <c r="G575" s="8" t="str">
        <f t="shared" si="100"/>
        <v>13/07/2021</v>
      </c>
      <c r="H575" s="4" t="s">
        <v>1</v>
      </c>
      <c r="I575" s="4" t="s">
        <v>0</v>
      </c>
      <c r="J575" s="7" t="s">
        <v>1307</v>
      </c>
      <c r="K575" s="7" t="s">
        <v>172</v>
      </c>
      <c r="L575" s="9" t="str">
        <f>+VLOOKUP(K575,'[1]BASE DE PROVEEDORES'!$A:$B,2,0)</f>
        <v>MANEJO INTEGRAL DE DESECHOS SOLIDOS SEM DE C.V.</v>
      </c>
      <c r="M575" s="73" t="s">
        <v>2</v>
      </c>
      <c r="N575" s="7" t="s">
        <v>2</v>
      </c>
      <c r="O575" s="7" t="s">
        <v>2</v>
      </c>
      <c r="P575" s="10">
        <v>69.91</v>
      </c>
      <c r="Q575" s="29" t="s">
        <v>2</v>
      </c>
      <c r="R575" s="32" t="s">
        <v>2</v>
      </c>
      <c r="S575" s="32" t="s">
        <v>2</v>
      </c>
      <c r="T575" s="29">
        <f t="shared" si="101"/>
        <v>9.0883000000000003</v>
      </c>
      <c r="U575" s="28">
        <f t="shared" si="102"/>
        <v>78.9983</v>
      </c>
      <c r="V575" s="4" t="s">
        <v>3</v>
      </c>
    </row>
    <row r="576" spans="1:22" x14ac:dyDescent="0.25">
      <c r="A576" s="7" t="s">
        <v>1145</v>
      </c>
      <c r="B576" s="4" t="s">
        <v>872</v>
      </c>
      <c r="C576" s="5" t="str">
        <f t="shared" si="98"/>
        <v>14</v>
      </c>
      <c r="D576" s="5" t="str">
        <f t="shared" si="99"/>
        <v>06</v>
      </c>
      <c r="E576" s="4" t="s">
        <v>30</v>
      </c>
      <c r="F576" s="4" t="s">
        <v>31</v>
      </c>
      <c r="G576" s="8" t="str">
        <f t="shared" si="100"/>
        <v>14/06/2021</v>
      </c>
      <c r="H576" s="4" t="s">
        <v>1</v>
      </c>
      <c r="I576" s="4" t="s">
        <v>0</v>
      </c>
      <c r="J576" s="7" t="s">
        <v>1264</v>
      </c>
      <c r="K576" s="7" t="s">
        <v>787</v>
      </c>
      <c r="L576" s="9" t="str">
        <f>+VLOOKUP(K576,'[1]BASE DE PROVEEDORES'!$A:$B,2,0)</f>
        <v>DISTRIBUIDORA JAR S.A DE C.V.</v>
      </c>
      <c r="M576" s="73" t="s">
        <v>2</v>
      </c>
      <c r="N576" s="7" t="s">
        <v>2</v>
      </c>
      <c r="O576" s="7" t="s">
        <v>2</v>
      </c>
      <c r="P576" s="10">
        <v>59.08</v>
      </c>
      <c r="Q576" s="29" t="s">
        <v>2</v>
      </c>
      <c r="R576" s="32" t="s">
        <v>2</v>
      </c>
      <c r="S576" s="32" t="s">
        <v>2</v>
      </c>
      <c r="T576" s="29">
        <f t="shared" si="101"/>
        <v>7.6803999999999997</v>
      </c>
      <c r="U576" s="28">
        <f t="shared" si="102"/>
        <v>66.760400000000004</v>
      </c>
      <c r="V576" s="4" t="s">
        <v>3</v>
      </c>
    </row>
    <row r="577" spans="1:22" x14ac:dyDescent="0.25">
      <c r="A577" s="7" t="s">
        <v>1145</v>
      </c>
      <c r="B577" s="4" t="s">
        <v>626</v>
      </c>
      <c r="C577" s="5" t="str">
        <f t="shared" si="98"/>
        <v>14</v>
      </c>
      <c r="D577" s="5" t="str">
        <f t="shared" si="99"/>
        <v>07</v>
      </c>
      <c r="E577" s="4" t="s">
        <v>30</v>
      </c>
      <c r="F577" s="4" t="s">
        <v>31</v>
      </c>
      <c r="G577" s="8" t="str">
        <f t="shared" si="100"/>
        <v>14/07/2021</v>
      </c>
      <c r="H577" s="4" t="s">
        <v>1</v>
      </c>
      <c r="I577" s="4" t="s">
        <v>0</v>
      </c>
      <c r="J577" s="7" t="s">
        <v>1169</v>
      </c>
      <c r="K577" s="7" t="s">
        <v>45</v>
      </c>
      <c r="L577" s="9" t="str">
        <f>+VLOOKUP(K577,'[1]BASE DE PROVEEDORES'!$A:$B,2,0)</f>
        <v>JOSE RICARDO ANTONIO MOLINA</v>
      </c>
      <c r="M577" s="73">
        <f>8.43+4.22</f>
        <v>12.649999999999999</v>
      </c>
      <c r="N577" s="7" t="s">
        <v>2</v>
      </c>
      <c r="O577" s="7" t="s">
        <v>2</v>
      </c>
      <c r="P577" s="10">
        <v>108.56</v>
      </c>
      <c r="Q577" s="29" t="s">
        <v>2</v>
      </c>
      <c r="R577" s="32" t="s">
        <v>2</v>
      </c>
      <c r="S577" s="32" t="s">
        <v>2</v>
      </c>
      <c r="T577" s="29">
        <f t="shared" si="101"/>
        <v>14.1128</v>
      </c>
      <c r="U577" s="28">
        <f t="shared" si="102"/>
        <v>135.3228</v>
      </c>
      <c r="V577" s="4" t="s">
        <v>3</v>
      </c>
    </row>
    <row r="578" spans="1:22" x14ac:dyDescent="0.25">
      <c r="A578" s="7" t="s">
        <v>1145</v>
      </c>
      <c r="B578" s="4" t="s">
        <v>626</v>
      </c>
      <c r="C578" s="5" t="str">
        <f t="shared" si="98"/>
        <v>14</v>
      </c>
      <c r="D578" s="5" t="str">
        <f t="shared" si="99"/>
        <v>07</v>
      </c>
      <c r="E578" s="4" t="s">
        <v>30</v>
      </c>
      <c r="F578" s="4" t="s">
        <v>31</v>
      </c>
      <c r="G578" s="8" t="str">
        <f t="shared" si="100"/>
        <v>14/07/2021</v>
      </c>
      <c r="H578" s="4" t="s">
        <v>1</v>
      </c>
      <c r="I578" s="4" t="s">
        <v>0</v>
      </c>
      <c r="J578" s="7" t="s">
        <v>1170</v>
      </c>
      <c r="K578" s="7" t="s">
        <v>45</v>
      </c>
      <c r="L578" s="9" t="str">
        <f>+VLOOKUP(K578,'[1]BASE DE PROVEEDORES'!$A:$B,2,0)</f>
        <v>JOSE RICARDO ANTONIO MOLINA</v>
      </c>
      <c r="M578" s="73">
        <f>5.43+2.71</f>
        <v>8.14</v>
      </c>
      <c r="N578" s="7" t="s">
        <v>2</v>
      </c>
      <c r="O578" s="7" t="s">
        <v>2</v>
      </c>
      <c r="P578" s="10">
        <v>69.900000000000006</v>
      </c>
      <c r="Q578" s="29" t="s">
        <v>2</v>
      </c>
      <c r="R578" s="32" t="s">
        <v>2</v>
      </c>
      <c r="S578" s="32" t="s">
        <v>2</v>
      </c>
      <c r="T578" s="29">
        <f t="shared" si="101"/>
        <v>9.0870000000000015</v>
      </c>
      <c r="U578" s="28">
        <f t="shared" si="102"/>
        <v>87.12700000000001</v>
      </c>
      <c r="V578" s="4" t="s">
        <v>3</v>
      </c>
    </row>
    <row r="579" spans="1:22" x14ac:dyDescent="0.25">
      <c r="A579" s="7" t="s">
        <v>1145</v>
      </c>
      <c r="B579" s="4" t="s">
        <v>626</v>
      </c>
      <c r="C579" s="5" t="str">
        <f t="shared" si="98"/>
        <v>14</v>
      </c>
      <c r="D579" s="5" t="str">
        <f t="shared" si="99"/>
        <v>07</v>
      </c>
      <c r="E579" s="4" t="s">
        <v>30</v>
      </c>
      <c r="F579" s="4" t="s">
        <v>31</v>
      </c>
      <c r="G579" s="8" t="str">
        <f t="shared" si="100"/>
        <v>14/07/2021</v>
      </c>
      <c r="H579" s="4" t="s">
        <v>1</v>
      </c>
      <c r="I579" s="4" t="s">
        <v>0</v>
      </c>
      <c r="J579" s="7" t="s">
        <v>1217</v>
      </c>
      <c r="K579" s="7" t="s">
        <v>28</v>
      </c>
      <c r="L579" s="9" t="str">
        <f>+VLOOKUP(K579,'[1]BASE DE PROVEEDORES'!$A:$B,2,0)</f>
        <v xml:space="preserve">ACTIVIDADES PETROLERAS DE EL SALVADOR S.A DE C.V </v>
      </c>
      <c r="M579" s="73">
        <f>2.06+1.03</f>
        <v>3.09</v>
      </c>
      <c r="N579" s="7" t="s">
        <v>2</v>
      </c>
      <c r="O579" s="7" t="s">
        <v>2</v>
      </c>
      <c r="P579" s="10">
        <v>26.47</v>
      </c>
      <c r="Q579" s="29" t="s">
        <v>2</v>
      </c>
      <c r="R579" s="32" t="s">
        <v>2</v>
      </c>
      <c r="S579" s="32" t="s">
        <v>2</v>
      </c>
      <c r="T579" s="29">
        <f t="shared" si="101"/>
        <v>3.4411</v>
      </c>
      <c r="U579" s="28">
        <f t="shared" si="102"/>
        <v>33.001100000000001</v>
      </c>
      <c r="V579" s="4" t="s">
        <v>3</v>
      </c>
    </row>
    <row r="580" spans="1:22" x14ac:dyDescent="0.25">
      <c r="A580" s="7" t="s">
        <v>1145</v>
      </c>
      <c r="B580" s="4" t="s">
        <v>626</v>
      </c>
      <c r="C580" s="5" t="str">
        <f t="shared" si="98"/>
        <v>14</v>
      </c>
      <c r="D580" s="5" t="str">
        <f t="shared" si="99"/>
        <v>07</v>
      </c>
      <c r="E580" s="4" t="s">
        <v>30</v>
      </c>
      <c r="F580" s="4" t="s">
        <v>31</v>
      </c>
      <c r="G580" s="8" t="str">
        <f t="shared" si="100"/>
        <v>14/07/2021</v>
      </c>
      <c r="H580" s="4" t="s">
        <v>1</v>
      </c>
      <c r="I580" s="4" t="s">
        <v>0</v>
      </c>
      <c r="J580" s="7" t="s">
        <v>1218</v>
      </c>
      <c r="K580" s="7" t="s">
        <v>28</v>
      </c>
      <c r="L580" s="9" t="str">
        <f>+VLOOKUP(K580,'[1]BASE DE PROVEEDORES'!$A:$B,2,0)</f>
        <v xml:space="preserve">ACTIVIDADES PETROLERAS DE EL SALVADOR S.A DE C.V </v>
      </c>
      <c r="M580" s="73">
        <f>2.18+1.1</f>
        <v>3.2800000000000002</v>
      </c>
      <c r="N580" s="7" t="s">
        <v>2</v>
      </c>
      <c r="O580" s="7" t="s">
        <v>2</v>
      </c>
      <c r="P580" s="10">
        <v>28.07</v>
      </c>
      <c r="Q580" s="29" t="s">
        <v>2</v>
      </c>
      <c r="R580" s="32" t="s">
        <v>2</v>
      </c>
      <c r="S580" s="32" t="s">
        <v>2</v>
      </c>
      <c r="T580" s="29">
        <f t="shared" si="101"/>
        <v>3.6491000000000002</v>
      </c>
      <c r="U580" s="28">
        <f t="shared" si="102"/>
        <v>34.999099999999999</v>
      </c>
      <c r="V580" s="4" t="s">
        <v>3</v>
      </c>
    </row>
    <row r="581" spans="1:22" x14ac:dyDescent="0.25">
      <c r="A581" s="7" t="s">
        <v>1145</v>
      </c>
      <c r="B581" s="4" t="s">
        <v>626</v>
      </c>
      <c r="C581" s="5" t="str">
        <f t="shared" si="98"/>
        <v>14</v>
      </c>
      <c r="D581" s="5" t="str">
        <f t="shared" si="99"/>
        <v>07</v>
      </c>
      <c r="E581" s="4" t="s">
        <v>30</v>
      </c>
      <c r="F581" s="4" t="s">
        <v>31</v>
      </c>
      <c r="G581" s="8" t="str">
        <f t="shared" si="100"/>
        <v>14/07/2021</v>
      </c>
      <c r="H581" s="4" t="s">
        <v>1</v>
      </c>
      <c r="I581" s="4" t="s">
        <v>0</v>
      </c>
      <c r="J581" s="7" t="s">
        <v>1244</v>
      </c>
      <c r="K581" s="7" t="s">
        <v>126</v>
      </c>
      <c r="L581" s="9" t="str">
        <f>+VLOOKUP(K581,'[1]BASE DE PROVEEDORES'!$A:$B,2,0)</f>
        <v>REPUESTOS IZALCO S.A DE C.V.</v>
      </c>
      <c r="M581" s="73" t="s">
        <v>2</v>
      </c>
      <c r="N581" s="7" t="s">
        <v>2</v>
      </c>
      <c r="O581" s="7" t="s">
        <v>2</v>
      </c>
      <c r="P581" s="10">
        <v>6.3</v>
      </c>
      <c r="Q581" s="29" t="s">
        <v>2</v>
      </c>
      <c r="R581" s="32" t="s">
        <v>2</v>
      </c>
      <c r="S581" s="32" t="s">
        <v>2</v>
      </c>
      <c r="T581" s="29">
        <f t="shared" si="101"/>
        <v>0.81899999999999995</v>
      </c>
      <c r="U581" s="28">
        <f t="shared" si="102"/>
        <v>7.1189999999999998</v>
      </c>
      <c r="V581" s="4" t="s">
        <v>3</v>
      </c>
    </row>
    <row r="582" spans="1:22" x14ac:dyDescent="0.25">
      <c r="A582" s="7" t="s">
        <v>1145</v>
      </c>
      <c r="B582" s="4" t="s">
        <v>626</v>
      </c>
      <c r="C582" s="5" t="str">
        <f t="shared" ref="C582:C613" si="103">+LEFT(B582,2)</f>
        <v>14</v>
      </c>
      <c r="D582" s="5" t="str">
        <f t="shared" ref="D582:D613" si="104">+RIGHT(B582,2)</f>
        <v>07</v>
      </c>
      <c r="E582" s="4" t="s">
        <v>30</v>
      </c>
      <c r="F582" s="4" t="s">
        <v>31</v>
      </c>
      <c r="G582" s="8" t="str">
        <f t="shared" ref="G582:G613" si="105">+C582&amp;F582&amp;D582&amp;F582&amp;E582</f>
        <v>14/07/2021</v>
      </c>
      <c r="H582" s="4" t="s">
        <v>1</v>
      </c>
      <c r="I582" s="4" t="s">
        <v>0</v>
      </c>
      <c r="J582" s="7" t="s">
        <v>1286</v>
      </c>
      <c r="K582" s="7" t="s">
        <v>126</v>
      </c>
      <c r="L582" s="9" t="str">
        <f>+VLOOKUP(K582,'[1]BASE DE PROVEEDORES'!$A:$B,2,0)</f>
        <v>REPUESTOS IZALCO S.A DE C.V.</v>
      </c>
      <c r="M582" s="73" t="s">
        <v>2</v>
      </c>
      <c r="N582" s="7" t="s">
        <v>2</v>
      </c>
      <c r="O582" s="7" t="s">
        <v>2</v>
      </c>
      <c r="P582" s="10">
        <v>108</v>
      </c>
      <c r="Q582" s="29" t="s">
        <v>2</v>
      </c>
      <c r="R582" s="32" t="s">
        <v>2</v>
      </c>
      <c r="S582" s="32" t="s">
        <v>2</v>
      </c>
      <c r="T582" s="29">
        <f t="shared" ref="T582:T613" si="106">+P582*0.13</f>
        <v>14.040000000000001</v>
      </c>
      <c r="U582" s="28">
        <f t="shared" ref="U582:U613" si="107">+M582+P582+T582</f>
        <v>122.04</v>
      </c>
      <c r="V582" s="4" t="s">
        <v>3</v>
      </c>
    </row>
    <row r="583" spans="1:22" x14ac:dyDescent="0.25">
      <c r="A583" s="7" t="s">
        <v>1145</v>
      </c>
      <c r="B583" s="4" t="s">
        <v>626</v>
      </c>
      <c r="C583" s="5" t="str">
        <f t="shared" si="103"/>
        <v>14</v>
      </c>
      <c r="D583" s="5" t="str">
        <f t="shared" si="104"/>
        <v>07</v>
      </c>
      <c r="E583" s="4" t="s">
        <v>30</v>
      </c>
      <c r="F583" s="4" t="s">
        <v>31</v>
      </c>
      <c r="G583" s="8" t="str">
        <f t="shared" si="105"/>
        <v>14/07/2021</v>
      </c>
      <c r="H583" s="4" t="s">
        <v>1</v>
      </c>
      <c r="I583" s="4" t="s">
        <v>0</v>
      </c>
      <c r="J583" s="7" t="s">
        <v>1302</v>
      </c>
      <c r="K583" s="7" t="s">
        <v>157</v>
      </c>
      <c r="L583" s="9" t="str">
        <f>+VLOOKUP(K583,'[1]BASE DE PROVEEDORES'!$A:$B,2,0)</f>
        <v>DISTRIBUIDORA PAREDES VELA S.A DE C.V.</v>
      </c>
      <c r="M583" s="73" t="s">
        <v>2</v>
      </c>
      <c r="N583" s="7" t="s">
        <v>2</v>
      </c>
      <c r="O583" s="7" t="s">
        <v>2</v>
      </c>
      <c r="P583" s="10">
        <v>66.36</v>
      </c>
      <c r="Q583" s="29" t="s">
        <v>2</v>
      </c>
      <c r="R583" s="32" t="s">
        <v>2</v>
      </c>
      <c r="S583" s="32" t="s">
        <v>2</v>
      </c>
      <c r="T583" s="29">
        <f t="shared" si="106"/>
        <v>8.6267999999999994</v>
      </c>
      <c r="U583" s="28">
        <f t="shared" si="107"/>
        <v>74.986800000000002</v>
      </c>
      <c r="V583" s="4" t="s">
        <v>3</v>
      </c>
    </row>
    <row r="584" spans="1:22" x14ac:dyDescent="0.25">
      <c r="A584" s="7" t="s">
        <v>1145</v>
      </c>
      <c r="B584" s="4" t="s">
        <v>626</v>
      </c>
      <c r="C584" s="5" t="str">
        <f t="shared" si="103"/>
        <v>14</v>
      </c>
      <c r="D584" s="5" t="str">
        <f t="shared" si="104"/>
        <v>07</v>
      </c>
      <c r="E584" s="4" t="s">
        <v>30</v>
      </c>
      <c r="F584" s="4" t="s">
        <v>31</v>
      </c>
      <c r="G584" s="8" t="str">
        <f t="shared" si="105"/>
        <v>14/07/2021</v>
      </c>
      <c r="H584" s="4" t="s">
        <v>1</v>
      </c>
      <c r="I584" s="4" t="s">
        <v>0</v>
      </c>
      <c r="J584" s="7" t="s">
        <v>1303</v>
      </c>
      <c r="K584" s="7" t="s">
        <v>29</v>
      </c>
      <c r="L584" s="9" t="str">
        <f>+VLOOKUP(K584,'[1]BASE DE PROVEEDORES'!$A:$B,2,0)</f>
        <v xml:space="preserve">LA CASA DEL REPUESTO S.A DE C.V. </v>
      </c>
      <c r="M584" s="73" t="s">
        <v>2</v>
      </c>
      <c r="N584" s="7" t="s">
        <v>2</v>
      </c>
      <c r="O584" s="7" t="s">
        <v>2</v>
      </c>
      <c r="P584" s="10">
        <v>75.260000000000005</v>
      </c>
      <c r="Q584" s="29" t="s">
        <v>2</v>
      </c>
      <c r="R584" s="32" t="s">
        <v>2</v>
      </c>
      <c r="S584" s="32" t="s">
        <v>2</v>
      </c>
      <c r="T584" s="29">
        <f t="shared" si="106"/>
        <v>9.7838000000000012</v>
      </c>
      <c r="U584" s="28">
        <f t="shared" si="107"/>
        <v>85.043800000000005</v>
      </c>
      <c r="V584" s="4" t="s">
        <v>3</v>
      </c>
    </row>
    <row r="585" spans="1:22" x14ac:dyDescent="0.25">
      <c r="A585" s="7" t="s">
        <v>1145</v>
      </c>
      <c r="B585" s="4" t="s">
        <v>626</v>
      </c>
      <c r="C585" s="5" t="str">
        <f t="shared" si="103"/>
        <v>14</v>
      </c>
      <c r="D585" s="5" t="str">
        <f t="shared" si="104"/>
        <v>07</v>
      </c>
      <c r="E585" s="4" t="s">
        <v>30</v>
      </c>
      <c r="F585" s="4" t="s">
        <v>31</v>
      </c>
      <c r="G585" s="8" t="str">
        <f t="shared" si="105"/>
        <v>14/07/2021</v>
      </c>
      <c r="H585" s="4" t="s">
        <v>1</v>
      </c>
      <c r="I585" s="4" t="s">
        <v>0</v>
      </c>
      <c r="J585" s="7" t="s">
        <v>1318</v>
      </c>
      <c r="K585" s="7" t="s">
        <v>172</v>
      </c>
      <c r="L585" s="9" t="str">
        <f>+VLOOKUP(K585,'[1]BASE DE PROVEEDORES'!$A:$B,2,0)</f>
        <v>MANEJO INTEGRAL DE DESECHOS SOLIDOS SEM DE C.V.</v>
      </c>
      <c r="M585" s="73" t="s">
        <v>2</v>
      </c>
      <c r="N585" s="7" t="s">
        <v>2</v>
      </c>
      <c r="O585" s="7" t="s">
        <v>2</v>
      </c>
      <c r="P585" s="10">
        <v>69.91</v>
      </c>
      <c r="Q585" s="29" t="s">
        <v>2</v>
      </c>
      <c r="R585" s="32" t="s">
        <v>2</v>
      </c>
      <c r="S585" s="32" t="s">
        <v>2</v>
      </c>
      <c r="T585" s="29">
        <f t="shared" si="106"/>
        <v>9.0883000000000003</v>
      </c>
      <c r="U585" s="28">
        <f t="shared" si="107"/>
        <v>78.9983</v>
      </c>
      <c r="V585" s="4" t="s">
        <v>3</v>
      </c>
    </row>
    <row r="586" spans="1:22" x14ac:dyDescent="0.25">
      <c r="A586" s="7" t="s">
        <v>1145</v>
      </c>
      <c r="B586" s="4" t="s">
        <v>694</v>
      </c>
      <c r="C586" s="5" t="str">
        <f t="shared" si="103"/>
        <v>15</v>
      </c>
      <c r="D586" s="5" t="str">
        <f t="shared" si="104"/>
        <v>05</v>
      </c>
      <c r="E586" s="4" t="s">
        <v>30</v>
      </c>
      <c r="F586" s="4" t="s">
        <v>31</v>
      </c>
      <c r="G586" s="8" t="str">
        <f t="shared" si="105"/>
        <v>15/05/2021</v>
      </c>
      <c r="H586" s="4" t="s">
        <v>1</v>
      </c>
      <c r="I586" s="4" t="s">
        <v>0</v>
      </c>
      <c r="J586" s="7" t="s">
        <v>1239</v>
      </c>
      <c r="K586" s="7" t="s">
        <v>21</v>
      </c>
      <c r="L586" s="9" t="str">
        <f>+VLOOKUP(K586,'[1]BASE DE PROVEEDORES'!$A:$B,2,0)</f>
        <v>FREUND S.A DE C.V.</v>
      </c>
      <c r="M586" s="73" t="s">
        <v>2</v>
      </c>
      <c r="N586" s="7" t="s">
        <v>2</v>
      </c>
      <c r="O586" s="7" t="s">
        <v>2</v>
      </c>
      <c r="P586" s="10">
        <v>11.88</v>
      </c>
      <c r="Q586" s="29" t="s">
        <v>2</v>
      </c>
      <c r="R586" s="32" t="s">
        <v>2</v>
      </c>
      <c r="S586" s="32" t="s">
        <v>2</v>
      </c>
      <c r="T586" s="29">
        <f t="shared" si="106"/>
        <v>1.5444000000000002</v>
      </c>
      <c r="U586" s="28">
        <f t="shared" si="107"/>
        <v>13.4244</v>
      </c>
      <c r="V586" s="4" t="s">
        <v>3</v>
      </c>
    </row>
    <row r="587" spans="1:22" x14ac:dyDescent="0.25">
      <c r="A587" s="7" t="s">
        <v>1145</v>
      </c>
      <c r="B587" s="4" t="s">
        <v>1171</v>
      </c>
      <c r="C587" s="5" t="str">
        <f t="shared" si="103"/>
        <v>15</v>
      </c>
      <c r="D587" s="5" t="str">
        <f t="shared" si="104"/>
        <v>07</v>
      </c>
      <c r="E587" s="4" t="s">
        <v>30</v>
      </c>
      <c r="F587" s="4" t="s">
        <v>31</v>
      </c>
      <c r="G587" s="8" t="str">
        <f t="shared" si="105"/>
        <v>15/07/2021</v>
      </c>
      <c r="H587" s="4" t="s">
        <v>1</v>
      </c>
      <c r="I587" s="4" t="s">
        <v>0</v>
      </c>
      <c r="J587" s="7" t="s">
        <v>1172</v>
      </c>
      <c r="K587" s="7" t="s">
        <v>45</v>
      </c>
      <c r="L587" s="9" t="str">
        <f>+VLOOKUP(K587,'[1]BASE DE PROVEEDORES'!$A:$B,2,0)</f>
        <v>JOSE RICARDO ANTONIO MOLINA</v>
      </c>
      <c r="M587" s="73">
        <f>6.6+3.3</f>
        <v>9.8999999999999986</v>
      </c>
      <c r="N587" s="7" t="s">
        <v>2</v>
      </c>
      <c r="O587" s="7" t="s">
        <v>2</v>
      </c>
      <c r="P587" s="10">
        <v>85.04</v>
      </c>
      <c r="Q587" s="29" t="s">
        <v>2</v>
      </c>
      <c r="R587" s="32" t="s">
        <v>2</v>
      </c>
      <c r="S587" s="32" t="s">
        <v>2</v>
      </c>
      <c r="T587" s="29">
        <f t="shared" si="106"/>
        <v>11.055200000000001</v>
      </c>
      <c r="U587" s="28">
        <f t="shared" si="107"/>
        <v>105.9952</v>
      </c>
      <c r="V587" s="4" t="s">
        <v>3</v>
      </c>
    </row>
    <row r="588" spans="1:22" x14ac:dyDescent="0.25">
      <c r="A588" s="7" t="s">
        <v>1145</v>
      </c>
      <c r="B588" s="4" t="s">
        <v>1171</v>
      </c>
      <c r="C588" s="5" t="str">
        <f t="shared" si="103"/>
        <v>15</v>
      </c>
      <c r="D588" s="5" t="str">
        <f t="shared" si="104"/>
        <v>07</v>
      </c>
      <c r="E588" s="4" t="s">
        <v>30</v>
      </c>
      <c r="F588" s="4" t="s">
        <v>31</v>
      </c>
      <c r="G588" s="8" t="str">
        <f t="shared" si="105"/>
        <v>15/07/2021</v>
      </c>
      <c r="H588" s="4" t="s">
        <v>1</v>
      </c>
      <c r="I588" s="4" t="s">
        <v>0</v>
      </c>
      <c r="J588" s="7" t="s">
        <v>1216</v>
      </c>
      <c r="K588" s="7" t="s">
        <v>28</v>
      </c>
      <c r="L588" s="9" t="str">
        <f>+VLOOKUP(K588,'[1]BASE DE PROVEEDORES'!$A:$B,2,0)</f>
        <v xml:space="preserve">ACTIVIDADES PETROLERAS DE EL SALVADOR S.A DE C.V </v>
      </c>
      <c r="M588" s="73">
        <f>1.15+0.56</f>
        <v>1.71</v>
      </c>
      <c r="N588" s="7" t="s">
        <v>2</v>
      </c>
      <c r="O588" s="7" t="s">
        <v>2</v>
      </c>
      <c r="P588" s="10">
        <v>14.84</v>
      </c>
      <c r="Q588" s="29" t="s">
        <v>2</v>
      </c>
      <c r="R588" s="32" t="s">
        <v>2</v>
      </c>
      <c r="S588" s="32" t="s">
        <v>2</v>
      </c>
      <c r="T588" s="29">
        <f t="shared" si="106"/>
        <v>1.9292</v>
      </c>
      <c r="U588" s="28">
        <f t="shared" si="107"/>
        <v>18.479200000000002</v>
      </c>
      <c r="V588" s="4" t="s">
        <v>3</v>
      </c>
    </row>
    <row r="589" spans="1:22" x14ac:dyDescent="0.25">
      <c r="A589" s="7" t="s">
        <v>1145</v>
      </c>
      <c r="B589" s="4" t="s">
        <v>1171</v>
      </c>
      <c r="C589" s="5" t="str">
        <f t="shared" si="103"/>
        <v>15</v>
      </c>
      <c r="D589" s="5" t="str">
        <f t="shared" si="104"/>
        <v>07</v>
      </c>
      <c r="E589" s="4" t="s">
        <v>30</v>
      </c>
      <c r="F589" s="4" t="s">
        <v>31</v>
      </c>
      <c r="G589" s="8" t="str">
        <f t="shared" si="105"/>
        <v>15/07/2021</v>
      </c>
      <c r="H589" s="4" t="s">
        <v>1</v>
      </c>
      <c r="I589" s="4" t="s">
        <v>0</v>
      </c>
      <c r="J589" s="7" t="s">
        <v>1250</v>
      </c>
      <c r="K589" s="7" t="s">
        <v>925</v>
      </c>
      <c r="L589" s="9" t="str">
        <f>+VLOOKUP(K589,'[1]BASE DE PROVEEDORES'!$A:$B,2,0)</f>
        <v>NELSON EDY MEJIA OSORIO</v>
      </c>
      <c r="M589" s="73" t="s">
        <v>2</v>
      </c>
      <c r="N589" s="7" t="s">
        <v>2</v>
      </c>
      <c r="O589" s="7" t="s">
        <v>2</v>
      </c>
      <c r="P589" s="10">
        <v>150</v>
      </c>
      <c r="Q589" s="29" t="s">
        <v>2</v>
      </c>
      <c r="R589" s="32" t="s">
        <v>2</v>
      </c>
      <c r="S589" s="32" t="s">
        <v>2</v>
      </c>
      <c r="T589" s="29">
        <f t="shared" si="106"/>
        <v>19.5</v>
      </c>
      <c r="U589" s="28">
        <f t="shared" si="107"/>
        <v>169.5</v>
      </c>
      <c r="V589" s="4" t="s">
        <v>3</v>
      </c>
    </row>
    <row r="590" spans="1:22" x14ac:dyDescent="0.25">
      <c r="A590" s="7" t="s">
        <v>1145</v>
      </c>
      <c r="B590" s="4" t="s">
        <v>1171</v>
      </c>
      <c r="C590" s="5" t="str">
        <f t="shared" si="103"/>
        <v>15</v>
      </c>
      <c r="D590" s="5" t="str">
        <f t="shared" si="104"/>
        <v>07</v>
      </c>
      <c r="E590" s="4" t="s">
        <v>30</v>
      </c>
      <c r="F590" s="4" t="s">
        <v>31</v>
      </c>
      <c r="G590" s="8" t="str">
        <f t="shared" si="105"/>
        <v>15/07/2021</v>
      </c>
      <c r="H590" s="4" t="s">
        <v>1</v>
      </c>
      <c r="I590" s="4" t="s">
        <v>0</v>
      </c>
      <c r="J590" s="7" t="s">
        <v>1297</v>
      </c>
      <c r="K590" s="7" t="s">
        <v>753</v>
      </c>
      <c r="L590" s="9" t="str">
        <f>+VLOOKUP(K590,'[1]BASE DE PROVEEDORES'!$A:$B,2,0)</f>
        <v>SERTRACEN S.A DE C.V.</v>
      </c>
      <c r="M590" s="73" t="s">
        <v>2</v>
      </c>
      <c r="N590" s="7" t="s">
        <v>2</v>
      </c>
      <c r="O590" s="7" t="s">
        <v>2</v>
      </c>
      <c r="P590" s="10">
        <v>25</v>
      </c>
      <c r="Q590" s="29" t="s">
        <v>2</v>
      </c>
      <c r="R590" s="32" t="s">
        <v>2</v>
      </c>
      <c r="S590" s="32" t="s">
        <v>2</v>
      </c>
      <c r="T590" s="29">
        <f t="shared" si="106"/>
        <v>3.25</v>
      </c>
      <c r="U590" s="28">
        <f t="shared" si="107"/>
        <v>28.25</v>
      </c>
      <c r="V590" s="4" t="s">
        <v>3</v>
      </c>
    </row>
    <row r="591" spans="1:22" x14ac:dyDescent="0.25">
      <c r="A591" s="7" t="s">
        <v>1145</v>
      </c>
      <c r="B591" s="4" t="s">
        <v>1214</v>
      </c>
      <c r="C591" s="5" t="str">
        <f t="shared" si="103"/>
        <v>16</v>
      </c>
      <c r="D591" s="5" t="str">
        <f t="shared" si="104"/>
        <v>07</v>
      </c>
      <c r="E591" s="4" t="s">
        <v>30</v>
      </c>
      <c r="F591" s="4" t="s">
        <v>31</v>
      </c>
      <c r="G591" s="8" t="str">
        <f t="shared" si="105"/>
        <v>16/07/2021</v>
      </c>
      <c r="H591" s="4" t="s">
        <v>1</v>
      </c>
      <c r="I591" s="4" t="s">
        <v>0</v>
      </c>
      <c r="J591" s="7" t="s">
        <v>1215</v>
      </c>
      <c r="K591" s="7" t="s">
        <v>28</v>
      </c>
      <c r="L591" s="9" t="str">
        <f>+VLOOKUP(K591,'[1]BASE DE PROVEEDORES'!$A:$B,2,0)</f>
        <v xml:space="preserve">ACTIVIDADES PETROLERAS DE EL SALVADOR S.A DE C.V </v>
      </c>
      <c r="M591" s="73">
        <v>7.84</v>
      </c>
      <c r="N591" s="7" t="s">
        <v>2</v>
      </c>
      <c r="O591" s="7" t="s">
        <v>2</v>
      </c>
      <c r="P591" s="10">
        <v>67.25</v>
      </c>
      <c r="Q591" s="29" t="s">
        <v>2</v>
      </c>
      <c r="R591" s="32" t="s">
        <v>2</v>
      </c>
      <c r="S591" s="32" t="s">
        <v>2</v>
      </c>
      <c r="T591" s="29">
        <f t="shared" si="106"/>
        <v>8.7424999999999997</v>
      </c>
      <c r="U591" s="28">
        <f t="shared" si="107"/>
        <v>83.83250000000001</v>
      </c>
      <c r="V591" s="4" t="s">
        <v>3</v>
      </c>
    </row>
    <row r="592" spans="1:22" x14ac:dyDescent="0.25">
      <c r="A592" s="7" t="s">
        <v>1145</v>
      </c>
      <c r="B592" s="4" t="s">
        <v>1214</v>
      </c>
      <c r="C592" s="5" t="str">
        <f t="shared" si="103"/>
        <v>16</v>
      </c>
      <c r="D592" s="5" t="str">
        <f t="shared" si="104"/>
        <v>07</v>
      </c>
      <c r="E592" s="4" t="s">
        <v>30</v>
      </c>
      <c r="F592" s="4" t="s">
        <v>31</v>
      </c>
      <c r="G592" s="8" t="str">
        <f t="shared" si="105"/>
        <v>16/07/2021</v>
      </c>
      <c r="H592" s="4" t="s">
        <v>1</v>
      </c>
      <c r="I592" s="4" t="s">
        <v>0</v>
      </c>
      <c r="J592" s="7" t="s">
        <v>1301</v>
      </c>
      <c r="K592" s="7" t="s">
        <v>157</v>
      </c>
      <c r="L592" s="9" t="str">
        <f>+VLOOKUP(K592,'[1]BASE DE PROVEEDORES'!$A:$B,2,0)</f>
        <v>DISTRIBUIDORA PAREDES VELA S.A DE C.V.</v>
      </c>
      <c r="M592" s="73" t="s">
        <v>2</v>
      </c>
      <c r="N592" s="7" t="s">
        <v>2</v>
      </c>
      <c r="O592" s="7" t="s">
        <v>2</v>
      </c>
      <c r="P592" s="10">
        <v>81.19</v>
      </c>
      <c r="Q592" s="29" t="s">
        <v>2</v>
      </c>
      <c r="R592" s="32" t="s">
        <v>2</v>
      </c>
      <c r="S592" s="32" t="s">
        <v>2</v>
      </c>
      <c r="T592" s="29">
        <f t="shared" si="106"/>
        <v>10.5547</v>
      </c>
      <c r="U592" s="28">
        <f t="shared" si="107"/>
        <v>91.744699999999995</v>
      </c>
      <c r="V592" s="4" t="s">
        <v>3</v>
      </c>
    </row>
    <row r="593" spans="1:22" x14ac:dyDescent="0.25">
      <c r="A593" s="7" t="s">
        <v>1145</v>
      </c>
      <c r="B593" s="4" t="s">
        <v>1214</v>
      </c>
      <c r="C593" s="5" t="str">
        <f t="shared" si="103"/>
        <v>16</v>
      </c>
      <c r="D593" s="5" t="str">
        <f t="shared" si="104"/>
        <v>07</v>
      </c>
      <c r="E593" s="4" t="s">
        <v>30</v>
      </c>
      <c r="F593" s="4" t="s">
        <v>31</v>
      </c>
      <c r="G593" s="8" t="str">
        <f t="shared" si="105"/>
        <v>16/07/2021</v>
      </c>
      <c r="H593" s="4" t="s">
        <v>1</v>
      </c>
      <c r="I593" s="4" t="s">
        <v>0</v>
      </c>
      <c r="J593" s="7" t="s">
        <v>1308</v>
      </c>
      <c r="K593" s="7" t="s">
        <v>172</v>
      </c>
      <c r="L593" s="9" t="str">
        <f>+VLOOKUP(K593,'[1]BASE DE PROVEEDORES'!$A:$B,2,0)</f>
        <v>MANEJO INTEGRAL DE DESECHOS SOLIDOS SEM DE C.V.</v>
      </c>
      <c r="M593" s="73" t="s">
        <v>2</v>
      </c>
      <c r="N593" s="7" t="s">
        <v>2</v>
      </c>
      <c r="O593" s="7" t="s">
        <v>2</v>
      </c>
      <c r="P593" s="10">
        <v>37.340000000000003</v>
      </c>
      <c r="Q593" s="29" t="s">
        <v>2</v>
      </c>
      <c r="R593" s="32" t="s">
        <v>2</v>
      </c>
      <c r="S593" s="32" t="s">
        <v>2</v>
      </c>
      <c r="T593" s="29">
        <f t="shared" si="106"/>
        <v>4.8542000000000005</v>
      </c>
      <c r="U593" s="28">
        <f t="shared" si="107"/>
        <v>42.194200000000002</v>
      </c>
      <c r="V593" s="4" t="s">
        <v>3</v>
      </c>
    </row>
    <row r="594" spans="1:22" x14ac:dyDescent="0.25">
      <c r="A594" s="7" t="s">
        <v>1145</v>
      </c>
      <c r="B594" s="4" t="s">
        <v>1214</v>
      </c>
      <c r="C594" s="5" t="str">
        <f t="shared" si="103"/>
        <v>16</v>
      </c>
      <c r="D594" s="5" t="str">
        <f t="shared" si="104"/>
        <v>07</v>
      </c>
      <c r="E594" s="4" t="s">
        <v>30</v>
      </c>
      <c r="F594" s="4" t="s">
        <v>31</v>
      </c>
      <c r="G594" s="8" t="str">
        <f t="shared" si="105"/>
        <v>16/07/2021</v>
      </c>
      <c r="H594" s="4" t="s">
        <v>1</v>
      </c>
      <c r="I594" s="4" t="s">
        <v>0</v>
      </c>
      <c r="J594" s="7" t="s">
        <v>1319</v>
      </c>
      <c r="K594" s="7" t="s">
        <v>172</v>
      </c>
      <c r="L594" s="9" t="str">
        <f>+VLOOKUP(K594,'[1]BASE DE PROVEEDORES'!$A:$B,2,0)</f>
        <v>MANEJO INTEGRAL DE DESECHOS SOLIDOS SEM DE C.V.</v>
      </c>
      <c r="M594" s="73" t="s">
        <v>2</v>
      </c>
      <c r="N594" s="7" t="s">
        <v>2</v>
      </c>
      <c r="O594" s="7" t="s">
        <v>2</v>
      </c>
      <c r="P594" s="10">
        <v>35.1</v>
      </c>
      <c r="Q594" s="29" t="s">
        <v>2</v>
      </c>
      <c r="R594" s="32" t="s">
        <v>2</v>
      </c>
      <c r="S594" s="32" t="s">
        <v>2</v>
      </c>
      <c r="T594" s="29">
        <f t="shared" si="106"/>
        <v>4.5630000000000006</v>
      </c>
      <c r="U594" s="28">
        <f t="shared" si="107"/>
        <v>39.663000000000004</v>
      </c>
      <c r="V594" s="4" t="s">
        <v>3</v>
      </c>
    </row>
    <row r="595" spans="1:22" x14ac:dyDescent="0.25">
      <c r="A595" s="7" t="s">
        <v>1145</v>
      </c>
      <c r="B595" s="4" t="s">
        <v>696</v>
      </c>
      <c r="C595" s="5" t="str">
        <f t="shared" si="103"/>
        <v>17</v>
      </c>
      <c r="D595" s="5" t="str">
        <f t="shared" si="104"/>
        <v>05</v>
      </c>
      <c r="E595" s="4" t="s">
        <v>30</v>
      </c>
      <c r="F595" s="4" t="s">
        <v>31</v>
      </c>
      <c r="G595" s="8" t="str">
        <f t="shared" si="105"/>
        <v>17/05/2021</v>
      </c>
      <c r="H595" s="4" t="s">
        <v>1</v>
      </c>
      <c r="I595" s="4" t="s">
        <v>0</v>
      </c>
      <c r="J595" s="7" t="s">
        <v>1262</v>
      </c>
      <c r="K595" s="7" t="s">
        <v>126</v>
      </c>
      <c r="L595" s="9" t="str">
        <f>+VLOOKUP(K595,'[1]BASE DE PROVEEDORES'!$A:$B,2,0)</f>
        <v>REPUESTOS IZALCO S.A DE C.V.</v>
      </c>
      <c r="M595" s="73" t="s">
        <v>2</v>
      </c>
      <c r="N595" s="7" t="s">
        <v>2</v>
      </c>
      <c r="O595" s="7" t="s">
        <v>2</v>
      </c>
      <c r="P595" s="10">
        <v>24.3</v>
      </c>
      <c r="Q595" s="29" t="s">
        <v>2</v>
      </c>
      <c r="R595" s="32" t="s">
        <v>2</v>
      </c>
      <c r="S595" s="32" t="s">
        <v>2</v>
      </c>
      <c r="T595" s="29">
        <f t="shared" si="106"/>
        <v>3.1590000000000003</v>
      </c>
      <c r="U595" s="28">
        <f t="shared" si="107"/>
        <v>27.459</v>
      </c>
      <c r="V595" s="4" t="s">
        <v>3</v>
      </c>
    </row>
    <row r="596" spans="1:22" x14ac:dyDescent="0.25">
      <c r="A596" s="7" t="s">
        <v>1145</v>
      </c>
      <c r="B596" s="4" t="s">
        <v>1212</v>
      </c>
      <c r="C596" s="5" t="str">
        <f t="shared" si="103"/>
        <v>17</v>
      </c>
      <c r="D596" s="5" t="str">
        <f t="shared" si="104"/>
        <v>07</v>
      </c>
      <c r="E596" s="4" t="s">
        <v>30</v>
      </c>
      <c r="F596" s="4" t="s">
        <v>31</v>
      </c>
      <c r="G596" s="8" t="str">
        <f t="shared" si="105"/>
        <v>17/07/2021</v>
      </c>
      <c r="H596" s="4" t="s">
        <v>1</v>
      </c>
      <c r="I596" s="4" t="s">
        <v>0</v>
      </c>
      <c r="J596" s="7" t="s">
        <v>1213</v>
      </c>
      <c r="K596" s="7" t="s">
        <v>28</v>
      </c>
      <c r="L596" s="9" t="str">
        <f>+VLOOKUP(K596,'[1]BASE DE PROVEEDORES'!$A:$B,2,0)</f>
        <v xml:space="preserve">ACTIVIDADES PETROLERAS DE EL SALVADOR S.A DE C.V </v>
      </c>
      <c r="M596" s="73">
        <v>3.48</v>
      </c>
      <c r="N596" s="7" t="s">
        <v>2</v>
      </c>
      <c r="O596" s="7" t="s">
        <v>2</v>
      </c>
      <c r="P596" s="10">
        <v>29.8</v>
      </c>
      <c r="Q596" s="29" t="s">
        <v>2</v>
      </c>
      <c r="R596" s="32" t="s">
        <v>2</v>
      </c>
      <c r="S596" s="32" t="s">
        <v>2</v>
      </c>
      <c r="T596" s="29">
        <f t="shared" si="106"/>
        <v>3.8740000000000001</v>
      </c>
      <c r="U596" s="28">
        <f t="shared" si="107"/>
        <v>37.154000000000003</v>
      </c>
      <c r="V596" s="4" t="s">
        <v>3</v>
      </c>
    </row>
    <row r="597" spans="1:22" x14ac:dyDescent="0.25">
      <c r="A597" s="7" t="s">
        <v>1145</v>
      </c>
      <c r="B597" s="4" t="s">
        <v>1212</v>
      </c>
      <c r="C597" s="5" t="str">
        <f t="shared" si="103"/>
        <v>17</v>
      </c>
      <c r="D597" s="5" t="str">
        <f t="shared" si="104"/>
        <v>07</v>
      </c>
      <c r="E597" s="4" t="s">
        <v>30</v>
      </c>
      <c r="F597" s="4" t="s">
        <v>31</v>
      </c>
      <c r="G597" s="8" t="str">
        <f t="shared" si="105"/>
        <v>17/07/2021</v>
      </c>
      <c r="H597" s="4" t="s">
        <v>1</v>
      </c>
      <c r="I597" s="4" t="s">
        <v>0</v>
      </c>
      <c r="J597" s="7" t="s">
        <v>1236</v>
      </c>
      <c r="K597" s="7" t="s">
        <v>567</v>
      </c>
      <c r="L597" s="9" t="str">
        <f>+VLOOKUP(K597,'[1]BASE DE PROVEEDORES'!$A:$B,2,0)</f>
        <v>DANIEL ALBETO RUBIO CARCAMO</v>
      </c>
      <c r="M597" s="73" t="s">
        <v>2</v>
      </c>
      <c r="N597" s="7" t="s">
        <v>2</v>
      </c>
      <c r="O597" s="7" t="s">
        <v>2</v>
      </c>
      <c r="P597" s="10">
        <v>4.42</v>
      </c>
      <c r="Q597" s="29" t="s">
        <v>2</v>
      </c>
      <c r="R597" s="32" t="s">
        <v>2</v>
      </c>
      <c r="S597" s="32" t="s">
        <v>2</v>
      </c>
      <c r="T597" s="29">
        <f t="shared" si="106"/>
        <v>0.5746</v>
      </c>
      <c r="U597" s="28">
        <f t="shared" si="107"/>
        <v>4.9946000000000002</v>
      </c>
      <c r="V597" s="4" t="s">
        <v>3</v>
      </c>
    </row>
    <row r="598" spans="1:22" x14ac:dyDescent="0.25">
      <c r="A598" s="7" t="s">
        <v>1145</v>
      </c>
      <c r="B598" s="4" t="s">
        <v>1212</v>
      </c>
      <c r="C598" s="5" t="str">
        <f t="shared" si="103"/>
        <v>17</v>
      </c>
      <c r="D598" s="5" t="str">
        <f t="shared" si="104"/>
        <v>07</v>
      </c>
      <c r="E598" s="4" t="s">
        <v>30</v>
      </c>
      <c r="F598" s="4" t="s">
        <v>31</v>
      </c>
      <c r="G598" s="8" t="str">
        <f t="shared" si="105"/>
        <v>17/07/2021</v>
      </c>
      <c r="H598" s="4" t="s">
        <v>1</v>
      </c>
      <c r="I598" s="4" t="s">
        <v>0</v>
      </c>
      <c r="J598" s="7" t="s">
        <v>1320</v>
      </c>
      <c r="K598" s="7" t="s">
        <v>172</v>
      </c>
      <c r="L598" s="9" t="str">
        <f>+VLOOKUP(K598,'[1]BASE DE PROVEEDORES'!$A:$B,2,0)</f>
        <v>MANEJO INTEGRAL DE DESECHOS SOLIDOS SEM DE C.V.</v>
      </c>
      <c r="M598" s="73" t="s">
        <v>2</v>
      </c>
      <c r="N598" s="7" t="s">
        <v>2</v>
      </c>
      <c r="O598" s="7" t="s">
        <v>2</v>
      </c>
      <c r="P598" s="10">
        <v>40.71</v>
      </c>
      <c r="Q598" s="29" t="s">
        <v>2</v>
      </c>
      <c r="R598" s="32" t="s">
        <v>2</v>
      </c>
      <c r="S598" s="32" t="s">
        <v>2</v>
      </c>
      <c r="T598" s="29">
        <f t="shared" si="106"/>
        <v>5.2923</v>
      </c>
      <c r="U598" s="28">
        <f t="shared" si="107"/>
        <v>46.002299999999998</v>
      </c>
      <c r="V598" s="4" t="s">
        <v>3</v>
      </c>
    </row>
    <row r="599" spans="1:22" x14ac:dyDescent="0.25">
      <c r="A599" s="7" t="s">
        <v>1145</v>
      </c>
      <c r="B599" s="4" t="s">
        <v>1212</v>
      </c>
      <c r="C599" s="5" t="str">
        <f t="shared" si="103"/>
        <v>17</v>
      </c>
      <c r="D599" s="5" t="str">
        <f t="shared" si="104"/>
        <v>07</v>
      </c>
      <c r="E599" s="4" t="s">
        <v>30</v>
      </c>
      <c r="F599" s="4" t="s">
        <v>31</v>
      </c>
      <c r="G599" s="8" t="str">
        <f t="shared" si="105"/>
        <v>17/07/2021</v>
      </c>
      <c r="H599" s="4" t="s">
        <v>1</v>
      </c>
      <c r="I599" s="4" t="s">
        <v>0</v>
      </c>
      <c r="J599" s="7" t="s">
        <v>1335</v>
      </c>
      <c r="K599" s="7" t="s">
        <v>172</v>
      </c>
      <c r="L599" s="9" t="str">
        <f>+VLOOKUP(K599,'[1]BASE DE PROVEEDORES'!$A:$B,2,0)</f>
        <v>MANEJO INTEGRAL DE DESECHOS SOLIDOS SEM DE C.V.</v>
      </c>
      <c r="M599" s="73" t="s">
        <v>2</v>
      </c>
      <c r="N599" s="7" t="s">
        <v>2</v>
      </c>
      <c r="O599" s="7" t="s">
        <v>2</v>
      </c>
      <c r="P599" s="10">
        <v>56.26</v>
      </c>
      <c r="Q599" s="29" t="s">
        <v>2</v>
      </c>
      <c r="R599" s="32" t="s">
        <v>2</v>
      </c>
      <c r="S599" s="32" t="s">
        <v>2</v>
      </c>
      <c r="T599" s="29">
        <f t="shared" si="106"/>
        <v>7.3137999999999996</v>
      </c>
      <c r="U599" s="28">
        <f t="shared" si="107"/>
        <v>63.573799999999999</v>
      </c>
      <c r="V599" s="4" t="s">
        <v>3</v>
      </c>
    </row>
    <row r="600" spans="1:22" x14ac:dyDescent="0.25">
      <c r="A600" s="7" t="s">
        <v>1145</v>
      </c>
      <c r="B600" s="4" t="s">
        <v>908</v>
      </c>
      <c r="C600" s="5" t="str">
        <f t="shared" si="103"/>
        <v>18</v>
      </c>
      <c r="D600" s="5" t="str">
        <f t="shared" si="104"/>
        <v>06</v>
      </c>
      <c r="E600" s="4" t="s">
        <v>30</v>
      </c>
      <c r="F600" s="4" t="s">
        <v>31</v>
      </c>
      <c r="G600" s="8" t="str">
        <f t="shared" si="105"/>
        <v>18/06/2021</v>
      </c>
      <c r="H600" s="4" t="s">
        <v>1</v>
      </c>
      <c r="I600" s="4" t="s">
        <v>0</v>
      </c>
      <c r="J600" s="7" t="s">
        <v>1234</v>
      </c>
      <c r="K600" s="7" t="s">
        <v>567</v>
      </c>
      <c r="L600" s="9" t="str">
        <f>+VLOOKUP(K600,'[1]BASE DE PROVEEDORES'!$A:$B,2,0)</f>
        <v>DANIEL ALBETO RUBIO CARCAMO</v>
      </c>
      <c r="M600" s="73" t="s">
        <v>2</v>
      </c>
      <c r="N600" s="7" t="s">
        <v>2</v>
      </c>
      <c r="O600" s="7" t="s">
        <v>2</v>
      </c>
      <c r="P600" s="10">
        <v>4.43</v>
      </c>
      <c r="Q600" s="29" t="s">
        <v>2</v>
      </c>
      <c r="R600" s="32" t="s">
        <v>2</v>
      </c>
      <c r="S600" s="32" t="s">
        <v>2</v>
      </c>
      <c r="T600" s="29">
        <f t="shared" si="106"/>
        <v>0.57589999999999997</v>
      </c>
      <c r="U600" s="28">
        <f t="shared" si="107"/>
        <v>5.0058999999999996</v>
      </c>
      <c r="V600" s="4" t="s">
        <v>3</v>
      </c>
    </row>
    <row r="601" spans="1:22" x14ac:dyDescent="0.25">
      <c r="A601" s="7" t="s">
        <v>1145</v>
      </c>
      <c r="B601" s="4" t="s">
        <v>908</v>
      </c>
      <c r="C601" s="5" t="str">
        <f t="shared" si="103"/>
        <v>18</v>
      </c>
      <c r="D601" s="5" t="str">
        <f t="shared" si="104"/>
        <v>06</v>
      </c>
      <c r="E601" s="4" t="s">
        <v>30</v>
      </c>
      <c r="F601" s="4" t="s">
        <v>31</v>
      </c>
      <c r="G601" s="8" t="str">
        <f t="shared" si="105"/>
        <v>18/06/2021</v>
      </c>
      <c r="H601" s="4" t="s">
        <v>1</v>
      </c>
      <c r="I601" s="4" t="s">
        <v>0</v>
      </c>
      <c r="J601" s="7" t="s">
        <v>1265</v>
      </c>
      <c r="K601" s="7" t="s">
        <v>787</v>
      </c>
      <c r="L601" s="9" t="str">
        <f>+VLOOKUP(K601,'[1]BASE DE PROVEEDORES'!$A:$B,2,0)</f>
        <v>DISTRIBUIDORA JAR S.A DE C.V.</v>
      </c>
      <c r="M601" s="73">
        <v>12.68</v>
      </c>
      <c r="N601" s="7" t="s">
        <v>2</v>
      </c>
      <c r="O601" s="7" t="s">
        <v>2</v>
      </c>
      <c r="P601" s="10">
        <v>105.11</v>
      </c>
      <c r="Q601" s="29" t="s">
        <v>2</v>
      </c>
      <c r="R601" s="32" t="s">
        <v>2</v>
      </c>
      <c r="S601" s="32" t="s">
        <v>2</v>
      </c>
      <c r="T601" s="29">
        <f t="shared" si="106"/>
        <v>13.664300000000001</v>
      </c>
      <c r="U601" s="28">
        <f t="shared" si="107"/>
        <v>131.45429999999999</v>
      </c>
      <c r="V601" s="4" t="s">
        <v>3</v>
      </c>
    </row>
    <row r="602" spans="1:22" x14ac:dyDescent="0.25">
      <c r="A602" s="7" t="s">
        <v>1145</v>
      </c>
      <c r="B602" s="4" t="s">
        <v>1173</v>
      </c>
      <c r="C602" s="5" t="str">
        <f t="shared" si="103"/>
        <v>18</v>
      </c>
      <c r="D602" s="5" t="str">
        <f t="shared" si="104"/>
        <v>07</v>
      </c>
      <c r="E602" s="4" t="s">
        <v>30</v>
      </c>
      <c r="F602" s="4" t="s">
        <v>31</v>
      </c>
      <c r="G602" s="8" t="str">
        <f t="shared" si="105"/>
        <v>18/07/2021</v>
      </c>
      <c r="H602" s="4" t="s">
        <v>1</v>
      </c>
      <c r="I602" s="4" t="s">
        <v>0</v>
      </c>
      <c r="J602" s="7" t="s">
        <v>1174</v>
      </c>
      <c r="K602" s="7" t="s">
        <v>45</v>
      </c>
      <c r="L602" s="9" t="str">
        <f>+VLOOKUP(K602,'[1]BASE DE PROVEEDORES'!$A:$B,2,0)</f>
        <v>JOSE RICARDO ANTONIO MOLINA</v>
      </c>
      <c r="M602" s="73">
        <f>6.77+3.38</f>
        <v>10.149999999999999</v>
      </c>
      <c r="N602" s="7" t="s">
        <v>2</v>
      </c>
      <c r="O602" s="7" t="s">
        <v>2</v>
      </c>
      <c r="P602" s="10">
        <v>87.12</v>
      </c>
      <c r="Q602" s="29" t="s">
        <v>2</v>
      </c>
      <c r="R602" s="32" t="s">
        <v>2</v>
      </c>
      <c r="S602" s="32" t="s">
        <v>2</v>
      </c>
      <c r="T602" s="29">
        <f t="shared" si="106"/>
        <v>11.325600000000001</v>
      </c>
      <c r="U602" s="28">
        <f t="shared" si="107"/>
        <v>108.59560000000002</v>
      </c>
      <c r="V602" s="4" t="s">
        <v>3</v>
      </c>
    </row>
    <row r="603" spans="1:22" x14ac:dyDescent="0.25">
      <c r="A603" s="7" t="s">
        <v>1145</v>
      </c>
      <c r="B603" s="4" t="s">
        <v>1175</v>
      </c>
      <c r="C603" s="5" t="str">
        <f t="shared" si="103"/>
        <v>19</v>
      </c>
      <c r="D603" s="5" t="str">
        <f t="shared" si="104"/>
        <v>07</v>
      </c>
      <c r="E603" s="4" t="s">
        <v>30</v>
      </c>
      <c r="F603" s="4" t="s">
        <v>31</v>
      </c>
      <c r="G603" s="8" t="str">
        <f t="shared" si="105"/>
        <v>19/07/2021</v>
      </c>
      <c r="H603" s="4" t="s">
        <v>1</v>
      </c>
      <c r="I603" s="4" t="s">
        <v>0</v>
      </c>
      <c r="J603" s="7" t="s">
        <v>1176</v>
      </c>
      <c r="K603" s="7" t="s">
        <v>45</v>
      </c>
      <c r="L603" s="9" t="str">
        <f>+VLOOKUP(K603,'[1]BASE DE PROVEEDORES'!$A:$B,2,0)</f>
        <v>JOSE RICARDO ANTONIO MOLINA</v>
      </c>
      <c r="M603" s="73">
        <f>1.25+0.62</f>
        <v>1.87</v>
      </c>
      <c r="N603" s="7" t="s">
        <v>2</v>
      </c>
      <c r="O603" s="7" t="s">
        <v>2</v>
      </c>
      <c r="P603" s="10">
        <v>16.04</v>
      </c>
      <c r="Q603" s="29" t="s">
        <v>2</v>
      </c>
      <c r="R603" s="32" t="s">
        <v>2</v>
      </c>
      <c r="S603" s="32" t="s">
        <v>2</v>
      </c>
      <c r="T603" s="29">
        <f t="shared" si="106"/>
        <v>2.0851999999999999</v>
      </c>
      <c r="U603" s="28">
        <f t="shared" si="107"/>
        <v>19.995200000000001</v>
      </c>
      <c r="V603" s="4" t="s">
        <v>3</v>
      </c>
    </row>
    <row r="604" spans="1:22" x14ac:dyDescent="0.25">
      <c r="A604" s="7" t="s">
        <v>1145</v>
      </c>
      <c r="B604" s="4" t="s">
        <v>1175</v>
      </c>
      <c r="C604" s="5" t="str">
        <f t="shared" si="103"/>
        <v>19</v>
      </c>
      <c r="D604" s="5" t="str">
        <f t="shared" si="104"/>
        <v>07</v>
      </c>
      <c r="E604" s="4" t="s">
        <v>30</v>
      </c>
      <c r="F604" s="4" t="s">
        <v>31</v>
      </c>
      <c r="G604" s="8" t="str">
        <f t="shared" si="105"/>
        <v>19/07/2021</v>
      </c>
      <c r="H604" s="4" t="s">
        <v>1</v>
      </c>
      <c r="I604" s="4" t="s">
        <v>0</v>
      </c>
      <c r="J604" s="7" t="s">
        <v>1211</v>
      </c>
      <c r="K604" s="7" t="s">
        <v>28</v>
      </c>
      <c r="L604" s="9" t="str">
        <f>+VLOOKUP(K604,'[1]BASE DE PROVEEDORES'!$A:$B,2,0)</f>
        <v xml:space="preserve">ACTIVIDADES PETROLERAS DE EL SALVADOR S.A DE C.V </v>
      </c>
      <c r="M604" s="73">
        <f>1.24+0.62</f>
        <v>1.8599999999999999</v>
      </c>
      <c r="N604" s="7" t="s">
        <v>2</v>
      </c>
      <c r="O604" s="7" t="s">
        <v>2</v>
      </c>
      <c r="P604" s="10">
        <v>15.95</v>
      </c>
      <c r="Q604" s="29" t="s">
        <v>2</v>
      </c>
      <c r="R604" s="32" t="s">
        <v>2</v>
      </c>
      <c r="S604" s="32" t="s">
        <v>2</v>
      </c>
      <c r="T604" s="29">
        <f t="shared" si="106"/>
        <v>2.0735000000000001</v>
      </c>
      <c r="U604" s="28">
        <f t="shared" si="107"/>
        <v>19.883499999999998</v>
      </c>
      <c r="V604" s="4" t="s">
        <v>3</v>
      </c>
    </row>
    <row r="605" spans="1:22" x14ac:dyDescent="0.25">
      <c r="A605" s="7" t="s">
        <v>1145</v>
      </c>
      <c r="B605" s="4" t="s">
        <v>1175</v>
      </c>
      <c r="C605" s="5" t="str">
        <f t="shared" si="103"/>
        <v>19</v>
      </c>
      <c r="D605" s="5" t="str">
        <f t="shared" si="104"/>
        <v>07</v>
      </c>
      <c r="E605" s="4" t="s">
        <v>30</v>
      </c>
      <c r="F605" s="4" t="s">
        <v>31</v>
      </c>
      <c r="G605" s="8" t="str">
        <f t="shared" si="105"/>
        <v>19/07/2021</v>
      </c>
      <c r="H605" s="4" t="s">
        <v>1</v>
      </c>
      <c r="I605" s="4" t="s">
        <v>0</v>
      </c>
      <c r="J605" s="7" t="s">
        <v>1329</v>
      </c>
      <c r="K605" s="7" t="s">
        <v>172</v>
      </c>
      <c r="L605" s="9" t="str">
        <f>+VLOOKUP(K605,'[1]BASE DE PROVEEDORES'!$A:$B,2,0)</f>
        <v>MANEJO INTEGRAL DE DESECHOS SOLIDOS SEM DE C.V.</v>
      </c>
      <c r="M605" s="73" t="s">
        <v>2</v>
      </c>
      <c r="N605" s="7" t="s">
        <v>2</v>
      </c>
      <c r="O605" s="7" t="s">
        <v>2</v>
      </c>
      <c r="P605" s="10">
        <v>56.26</v>
      </c>
      <c r="Q605" s="29" t="s">
        <v>2</v>
      </c>
      <c r="R605" s="32" t="s">
        <v>2</v>
      </c>
      <c r="S605" s="32" t="s">
        <v>2</v>
      </c>
      <c r="T605" s="29">
        <f t="shared" si="106"/>
        <v>7.3137999999999996</v>
      </c>
      <c r="U605" s="28">
        <f t="shared" si="107"/>
        <v>63.573799999999999</v>
      </c>
      <c r="V605" s="4" t="s">
        <v>3</v>
      </c>
    </row>
    <row r="606" spans="1:22" x14ac:dyDescent="0.25">
      <c r="A606" s="7" t="s">
        <v>1145</v>
      </c>
      <c r="B606" s="4" t="s">
        <v>1175</v>
      </c>
      <c r="C606" s="5" t="str">
        <f t="shared" si="103"/>
        <v>19</v>
      </c>
      <c r="D606" s="5" t="str">
        <f t="shared" si="104"/>
        <v>07</v>
      </c>
      <c r="E606" s="4" t="s">
        <v>30</v>
      </c>
      <c r="F606" s="4" t="s">
        <v>31</v>
      </c>
      <c r="G606" s="8" t="str">
        <f t="shared" si="105"/>
        <v>19/07/2021</v>
      </c>
      <c r="H606" s="4" t="s">
        <v>1</v>
      </c>
      <c r="I606" s="4" t="s">
        <v>0</v>
      </c>
      <c r="J606" s="7" t="s">
        <v>168</v>
      </c>
      <c r="K606" s="7" t="s">
        <v>172</v>
      </c>
      <c r="L606" s="9" t="str">
        <f>+VLOOKUP(K606,'[1]BASE DE PROVEEDORES'!$A:$B,2,0)</f>
        <v>MANEJO INTEGRAL DE DESECHOS SOLIDOS SEM DE C.V.</v>
      </c>
      <c r="M606" s="73" t="s">
        <v>2</v>
      </c>
      <c r="N606" s="7" t="s">
        <v>2</v>
      </c>
      <c r="O606" s="7" t="s">
        <v>2</v>
      </c>
      <c r="P606" s="10">
        <v>56.26</v>
      </c>
      <c r="Q606" s="29" t="s">
        <v>2</v>
      </c>
      <c r="R606" s="32" t="s">
        <v>2</v>
      </c>
      <c r="S606" s="32" t="s">
        <v>2</v>
      </c>
      <c r="T606" s="29">
        <f t="shared" si="106"/>
        <v>7.3137999999999996</v>
      </c>
      <c r="U606" s="28">
        <f t="shared" si="107"/>
        <v>63.573799999999999</v>
      </c>
      <c r="V606" s="4" t="s">
        <v>3</v>
      </c>
    </row>
    <row r="607" spans="1:22" x14ac:dyDescent="0.25">
      <c r="A607" s="7" t="s">
        <v>1145</v>
      </c>
      <c r="B607" s="4" t="s">
        <v>701</v>
      </c>
      <c r="C607" s="5" t="str">
        <f t="shared" si="103"/>
        <v>20</v>
      </c>
      <c r="D607" s="5" t="str">
        <f t="shared" si="104"/>
        <v>05</v>
      </c>
      <c r="E607" s="4" t="s">
        <v>30</v>
      </c>
      <c r="F607" s="4" t="s">
        <v>31</v>
      </c>
      <c r="G607" s="8" t="str">
        <f t="shared" si="105"/>
        <v>20/05/2021</v>
      </c>
      <c r="H607" s="4" t="s">
        <v>1</v>
      </c>
      <c r="I607" s="4" t="s">
        <v>0</v>
      </c>
      <c r="J607" s="7" t="s">
        <v>1253</v>
      </c>
      <c r="K607" s="7" t="s">
        <v>770</v>
      </c>
      <c r="L607" s="9" t="str">
        <f>+VLOOKUP(K607,'[1]BASE DE PROVEEDORES'!$A:$B,2,0)</f>
        <v>RAFAEL RENE CANALES PINAUD</v>
      </c>
      <c r="M607" s="73">
        <f>5.61+2.81</f>
        <v>8.42</v>
      </c>
      <c r="N607" s="7" t="s">
        <v>2</v>
      </c>
      <c r="O607" s="7" t="s">
        <v>2</v>
      </c>
      <c r="P607" s="10">
        <v>67.77</v>
      </c>
      <c r="Q607" s="29" t="s">
        <v>2</v>
      </c>
      <c r="R607" s="32" t="s">
        <v>2</v>
      </c>
      <c r="S607" s="32" t="s">
        <v>2</v>
      </c>
      <c r="T607" s="29">
        <f t="shared" si="106"/>
        <v>8.8101000000000003</v>
      </c>
      <c r="U607" s="28">
        <f t="shared" si="107"/>
        <v>85.000100000000003</v>
      </c>
      <c r="V607" s="4" t="s">
        <v>3</v>
      </c>
    </row>
    <row r="608" spans="1:22" x14ac:dyDescent="0.25">
      <c r="A608" s="7" t="s">
        <v>1145</v>
      </c>
      <c r="B608" s="4" t="s">
        <v>879</v>
      </c>
      <c r="C608" s="5" t="str">
        <f t="shared" si="103"/>
        <v>20</v>
      </c>
      <c r="D608" s="5" t="str">
        <f t="shared" si="104"/>
        <v>06</v>
      </c>
      <c r="E608" s="4" t="s">
        <v>30</v>
      </c>
      <c r="F608" s="4" t="s">
        <v>31</v>
      </c>
      <c r="G608" s="8" t="str">
        <f t="shared" si="105"/>
        <v>20/06/2021</v>
      </c>
      <c r="H608" s="4" t="s">
        <v>1</v>
      </c>
      <c r="I608" s="4" t="s">
        <v>0</v>
      </c>
      <c r="J608" s="7" t="s">
        <v>1267</v>
      </c>
      <c r="K608" s="7" t="s">
        <v>24</v>
      </c>
      <c r="L608" s="9" t="str">
        <f>+VLOOKUP(K608,'[1]BASE DE PROVEEDORES'!$A:$B,2,0)</f>
        <v>ECSA OPERADORA EL SALVADOR S.A DE C.V.</v>
      </c>
      <c r="M608" s="73">
        <v>2.99</v>
      </c>
      <c r="N608" s="7" t="s">
        <v>2</v>
      </c>
      <c r="O608" s="7" t="s">
        <v>2</v>
      </c>
      <c r="P608" s="10">
        <v>24.79</v>
      </c>
      <c r="Q608" s="29" t="s">
        <v>2</v>
      </c>
      <c r="R608" s="32" t="s">
        <v>2</v>
      </c>
      <c r="S608" s="32" t="s">
        <v>2</v>
      </c>
      <c r="T608" s="29">
        <f t="shared" si="106"/>
        <v>3.2227000000000001</v>
      </c>
      <c r="U608" s="28">
        <f t="shared" si="107"/>
        <v>31.002700000000001</v>
      </c>
      <c r="V608" s="4" t="s">
        <v>3</v>
      </c>
    </row>
    <row r="609" spans="1:22" x14ac:dyDescent="0.25">
      <c r="A609" s="7" t="s">
        <v>1145</v>
      </c>
      <c r="B609" s="4" t="s">
        <v>1177</v>
      </c>
      <c r="C609" s="5" t="str">
        <f t="shared" si="103"/>
        <v>20</v>
      </c>
      <c r="D609" s="5" t="str">
        <f t="shared" si="104"/>
        <v>07</v>
      </c>
      <c r="E609" s="4" t="s">
        <v>30</v>
      </c>
      <c r="F609" s="4" t="s">
        <v>31</v>
      </c>
      <c r="G609" s="8" t="str">
        <f t="shared" si="105"/>
        <v>20/07/2021</v>
      </c>
      <c r="H609" s="4" t="s">
        <v>1</v>
      </c>
      <c r="I609" s="4" t="s">
        <v>0</v>
      </c>
      <c r="J609" s="7" t="s">
        <v>1178</v>
      </c>
      <c r="K609" s="7" t="s">
        <v>45</v>
      </c>
      <c r="L609" s="9" t="str">
        <f>+VLOOKUP(K609,'[1]BASE DE PROVEEDORES'!$A:$B,2,0)</f>
        <v>JOSE RICARDO ANTONIO MOLINA</v>
      </c>
      <c r="M609" s="73">
        <f>5.92+2.96</f>
        <v>8.879999999999999</v>
      </c>
      <c r="N609" s="7" t="s">
        <v>2</v>
      </c>
      <c r="O609" s="7" t="s">
        <v>2</v>
      </c>
      <c r="P609" s="10">
        <v>76.209999999999994</v>
      </c>
      <c r="Q609" s="29" t="s">
        <v>2</v>
      </c>
      <c r="R609" s="32" t="s">
        <v>2</v>
      </c>
      <c r="S609" s="32" t="s">
        <v>2</v>
      </c>
      <c r="T609" s="29">
        <f t="shared" si="106"/>
        <v>9.9072999999999993</v>
      </c>
      <c r="U609" s="28">
        <f t="shared" si="107"/>
        <v>94.997299999999996</v>
      </c>
      <c r="V609" s="4" t="s">
        <v>3</v>
      </c>
    </row>
    <row r="610" spans="1:22" x14ac:dyDescent="0.25">
      <c r="A610" s="7" t="s">
        <v>1145</v>
      </c>
      <c r="B610" s="4" t="s">
        <v>1177</v>
      </c>
      <c r="C610" s="5" t="str">
        <f t="shared" si="103"/>
        <v>20</v>
      </c>
      <c r="D610" s="5" t="str">
        <f t="shared" si="104"/>
        <v>07</v>
      </c>
      <c r="E610" s="4" t="s">
        <v>30</v>
      </c>
      <c r="F610" s="4" t="s">
        <v>31</v>
      </c>
      <c r="G610" s="8" t="str">
        <f t="shared" si="105"/>
        <v>20/07/2021</v>
      </c>
      <c r="H610" s="4" t="s">
        <v>1</v>
      </c>
      <c r="I610" s="4" t="s">
        <v>0</v>
      </c>
      <c r="J610" s="7" t="s">
        <v>1179</v>
      </c>
      <c r="K610" s="7" t="s">
        <v>45</v>
      </c>
      <c r="L610" s="9" t="str">
        <f>+VLOOKUP(K610,'[1]BASE DE PROVEEDORES'!$A:$B,2,0)</f>
        <v>JOSE RICARDO ANTONIO MOLINA</v>
      </c>
      <c r="M610" s="73">
        <v>8.4700000000000006</v>
      </c>
      <c r="N610" s="7" t="s">
        <v>2</v>
      </c>
      <c r="O610" s="7" t="s">
        <v>2</v>
      </c>
      <c r="P610" s="10">
        <v>72.7</v>
      </c>
      <c r="Q610" s="29" t="s">
        <v>2</v>
      </c>
      <c r="R610" s="32" t="s">
        <v>2</v>
      </c>
      <c r="S610" s="32" t="s">
        <v>2</v>
      </c>
      <c r="T610" s="29">
        <f t="shared" si="106"/>
        <v>9.4510000000000005</v>
      </c>
      <c r="U610" s="28">
        <f t="shared" si="107"/>
        <v>90.621000000000009</v>
      </c>
      <c r="V610" s="4" t="s">
        <v>3</v>
      </c>
    </row>
    <row r="611" spans="1:22" x14ac:dyDescent="0.25">
      <c r="A611" s="7" t="s">
        <v>1145</v>
      </c>
      <c r="B611" s="4" t="s">
        <v>1177</v>
      </c>
      <c r="C611" s="5" t="str">
        <f t="shared" si="103"/>
        <v>20</v>
      </c>
      <c r="D611" s="5" t="str">
        <f t="shared" si="104"/>
        <v>07</v>
      </c>
      <c r="E611" s="4" t="s">
        <v>30</v>
      </c>
      <c r="F611" s="4" t="s">
        <v>31</v>
      </c>
      <c r="G611" s="8" t="str">
        <f t="shared" si="105"/>
        <v>20/07/2021</v>
      </c>
      <c r="H611" s="4" t="s">
        <v>1</v>
      </c>
      <c r="I611" s="4" t="s">
        <v>0</v>
      </c>
      <c r="J611" s="7" t="s">
        <v>1294</v>
      </c>
      <c r="K611" s="7" t="s">
        <v>20</v>
      </c>
      <c r="L611" s="9" t="str">
        <f>+VLOOKUP(K611,'[1]BASE DE PROVEEDORES'!$A:$B,2,0)</f>
        <v>ALMACENES VIDRI, S.A DE C.V.</v>
      </c>
      <c r="M611" s="73" t="s">
        <v>2</v>
      </c>
      <c r="N611" s="7" t="s">
        <v>2</v>
      </c>
      <c r="O611" s="7" t="s">
        <v>2</v>
      </c>
      <c r="P611" s="10">
        <v>28.67</v>
      </c>
      <c r="Q611" s="29" t="s">
        <v>2</v>
      </c>
      <c r="R611" s="32" t="s">
        <v>2</v>
      </c>
      <c r="S611" s="32" t="s">
        <v>2</v>
      </c>
      <c r="T611" s="29">
        <f t="shared" si="106"/>
        <v>3.7271000000000005</v>
      </c>
      <c r="U611" s="28">
        <f t="shared" si="107"/>
        <v>32.397100000000002</v>
      </c>
      <c r="V611" s="4" t="s">
        <v>3</v>
      </c>
    </row>
    <row r="612" spans="1:22" x14ac:dyDescent="0.25">
      <c r="A612" s="7" t="s">
        <v>1145</v>
      </c>
      <c r="B612" s="4" t="s">
        <v>1177</v>
      </c>
      <c r="C612" s="5" t="str">
        <f t="shared" si="103"/>
        <v>20</v>
      </c>
      <c r="D612" s="5" t="str">
        <f t="shared" si="104"/>
        <v>07</v>
      </c>
      <c r="E612" s="4" t="s">
        <v>30</v>
      </c>
      <c r="F612" s="4" t="s">
        <v>31</v>
      </c>
      <c r="G612" s="8" t="str">
        <f t="shared" si="105"/>
        <v>20/07/2021</v>
      </c>
      <c r="H612" s="4" t="s">
        <v>1</v>
      </c>
      <c r="I612" s="4" t="s">
        <v>0</v>
      </c>
      <c r="J612" s="7" t="s">
        <v>1309</v>
      </c>
      <c r="K612" s="7" t="s">
        <v>172</v>
      </c>
      <c r="L612" s="9" t="str">
        <f>+VLOOKUP(K612,'[1]BASE DE PROVEEDORES'!$A:$B,2,0)</f>
        <v>MANEJO INTEGRAL DE DESECHOS SOLIDOS SEM DE C.V.</v>
      </c>
      <c r="M612" s="73" t="s">
        <v>2</v>
      </c>
      <c r="N612" s="7" t="s">
        <v>2</v>
      </c>
      <c r="O612" s="7" t="s">
        <v>2</v>
      </c>
      <c r="P612" s="10">
        <v>56.44</v>
      </c>
      <c r="Q612" s="29" t="s">
        <v>2</v>
      </c>
      <c r="R612" s="32" t="s">
        <v>2</v>
      </c>
      <c r="S612" s="32" t="s">
        <v>2</v>
      </c>
      <c r="T612" s="29">
        <f t="shared" si="106"/>
        <v>7.3372000000000002</v>
      </c>
      <c r="U612" s="28">
        <f t="shared" si="107"/>
        <v>63.777200000000001</v>
      </c>
      <c r="V612" s="4" t="s">
        <v>3</v>
      </c>
    </row>
    <row r="613" spans="1:22" x14ac:dyDescent="0.25">
      <c r="A613" s="7" t="s">
        <v>1145</v>
      </c>
      <c r="B613" s="4" t="s">
        <v>659</v>
      </c>
      <c r="C613" s="5" t="str">
        <f t="shared" si="103"/>
        <v>21</v>
      </c>
      <c r="D613" s="5" t="str">
        <f t="shared" si="104"/>
        <v>05</v>
      </c>
      <c r="E613" s="4" t="s">
        <v>30</v>
      </c>
      <c r="F613" s="4" t="s">
        <v>31</v>
      </c>
      <c r="G613" s="8" t="str">
        <f t="shared" si="105"/>
        <v>21/05/2021</v>
      </c>
      <c r="H613" s="4" t="s">
        <v>1</v>
      </c>
      <c r="I613" s="4" t="s">
        <v>0</v>
      </c>
      <c r="J613" s="7" t="s">
        <v>1263</v>
      </c>
      <c r="K613" s="7" t="s">
        <v>126</v>
      </c>
      <c r="L613" s="9" t="str">
        <f>+VLOOKUP(K613,'[1]BASE DE PROVEEDORES'!$A:$B,2,0)</f>
        <v>REPUESTOS IZALCO S.A DE C.V.</v>
      </c>
      <c r="M613" s="73" t="s">
        <v>2</v>
      </c>
      <c r="N613" s="7" t="s">
        <v>2</v>
      </c>
      <c r="O613" s="7" t="s">
        <v>2</v>
      </c>
      <c r="P613" s="10">
        <v>151.5</v>
      </c>
      <c r="Q613" s="29" t="s">
        <v>2</v>
      </c>
      <c r="R613" s="32" t="s">
        <v>2</v>
      </c>
      <c r="S613" s="32" t="s">
        <v>2</v>
      </c>
      <c r="T613" s="29">
        <f t="shared" si="106"/>
        <v>19.695</v>
      </c>
      <c r="U613" s="28">
        <f t="shared" si="107"/>
        <v>171.19499999999999</v>
      </c>
      <c r="V613" s="4" t="s">
        <v>3</v>
      </c>
    </row>
    <row r="614" spans="1:22" x14ac:dyDescent="0.25">
      <c r="A614" s="7" t="s">
        <v>1145</v>
      </c>
      <c r="B614" s="4" t="s">
        <v>881</v>
      </c>
      <c r="C614" s="5" t="str">
        <f t="shared" ref="C614:C645" si="108">+LEFT(B614,2)</f>
        <v>21</v>
      </c>
      <c r="D614" s="5" t="str">
        <f t="shared" ref="D614:D645" si="109">+RIGHT(B614,2)</f>
        <v>06</v>
      </c>
      <c r="E614" s="4" t="s">
        <v>30</v>
      </c>
      <c r="F614" s="4" t="s">
        <v>31</v>
      </c>
      <c r="G614" s="8" t="str">
        <f t="shared" ref="G614:G645" si="110">+C614&amp;F614&amp;D614&amp;F614&amp;E614</f>
        <v>21/06/2021</v>
      </c>
      <c r="H614" s="4" t="s">
        <v>1</v>
      </c>
      <c r="I614" s="4" t="s">
        <v>0</v>
      </c>
      <c r="J614" s="7" t="s">
        <v>1289</v>
      </c>
      <c r="K614" s="7" t="s">
        <v>126</v>
      </c>
      <c r="L614" s="9" t="str">
        <f>+VLOOKUP(K614,'[1]BASE DE PROVEEDORES'!$A:$B,2,0)</f>
        <v>REPUESTOS IZALCO S.A DE C.V.</v>
      </c>
      <c r="M614" s="73" t="s">
        <v>2</v>
      </c>
      <c r="N614" s="7" t="s">
        <v>2</v>
      </c>
      <c r="O614" s="7" t="s">
        <v>2</v>
      </c>
      <c r="P614" s="10">
        <v>6.3</v>
      </c>
      <c r="Q614" s="29" t="s">
        <v>2</v>
      </c>
      <c r="R614" s="32" t="s">
        <v>2</v>
      </c>
      <c r="S614" s="32" t="s">
        <v>2</v>
      </c>
      <c r="T614" s="29">
        <f t="shared" ref="T614:T645" si="111">+P614*0.13</f>
        <v>0.81899999999999995</v>
      </c>
      <c r="U614" s="28">
        <f t="shared" ref="U614:U645" si="112">+M614+P614+T614</f>
        <v>7.1189999999999998</v>
      </c>
      <c r="V614" s="4" t="s">
        <v>3</v>
      </c>
    </row>
    <row r="615" spans="1:22" x14ac:dyDescent="0.25">
      <c r="A615" s="7" t="s">
        <v>1145</v>
      </c>
      <c r="B615" s="4" t="s">
        <v>1182</v>
      </c>
      <c r="C615" s="5" t="str">
        <f t="shared" si="108"/>
        <v>21</v>
      </c>
      <c r="D615" s="5" t="str">
        <f t="shared" si="109"/>
        <v>07</v>
      </c>
      <c r="E615" s="4" t="s">
        <v>30</v>
      </c>
      <c r="F615" s="4" t="s">
        <v>31</v>
      </c>
      <c r="G615" s="8" t="str">
        <f t="shared" si="110"/>
        <v>21/07/2021</v>
      </c>
      <c r="H615" s="4" t="s">
        <v>1</v>
      </c>
      <c r="I615" s="4" t="s">
        <v>0</v>
      </c>
      <c r="J615" s="7" t="s">
        <v>1181</v>
      </c>
      <c r="K615" s="7" t="s">
        <v>45</v>
      </c>
      <c r="L615" s="9" t="str">
        <f>+VLOOKUP(K615,'[1]BASE DE PROVEEDORES'!$A:$B,2,0)</f>
        <v>JOSE RICARDO ANTONIO MOLINA</v>
      </c>
      <c r="M615" s="73">
        <f>1.84+1.42</f>
        <v>3.26</v>
      </c>
      <c r="N615" s="7" t="s">
        <v>2</v>
      </c>
      <c r="O615" s="7" t="s">
        <v>2</v>
      </c>
      <c r="P615" s="10">
        <v>36.57</v>
      </c>
      <c r="Q615" s="29" t="s">
        <v>2</v>
      </c>
      <c r="R615" s="32" t="s">
        <v>2</v>
      </c>
      <c r="S615" s="32" t="s">
        <v>2</v>
      </c>
      <c r="T615" s="29">
        <f t="shared" si="111"/>
        <v>4.7541000000000002</v>
      </c>
      <c r="U615" s="28">
        <f t="shared" si="112"/>
        <v>44.584099999999999</v>
      </c>
      <c r="V615" s="4" t="s">
        <v>3</v>
      </c>
    </row>
    <row r="616" spans="1:22" x14ac:dyDescent="0.25">
      <c r="A616" s="7" t="s">
        <v>1145</v>
      </c>
      <c r="B616" s="4" t="s">
        <v>1182</v>
      </c>
      <c r="C616" s="5" t="str">
        <f t="shared" si="108"/>
        <v>21</v>
      </c>
      <c r="D616" s="5" t="str">
        <f t="shared" si="109"/>
        <v>07</v>
      </c>
      <c r="E616" s="4" t="s">
        <v>30</v>
      </c>
      <c r="F616" s="4" t="s">
        <v>31</v>
      </c>
      <c r="G616" s="8" t="str">
        <f t="shared" si="110"/>
        <v>21/07/2021</v>
      </c>
      <c r="H616" s="4" t="s">
        <v>1</v>
      </c>
      <c r="I616" s="4" t="s">
        <v>0</v>
      </c>
      <c r="J616" s="7" t="s">
        <v>1183</v>
      </c>
      <c r="K616" s="7" t="s">
        <v>45</v>
      </c>
      <c r="L616" s="9" t="str">
        <f>+VLOOKUP(K616,'[1]BASE DE PROVEEDORES'!$A:$B,2,0)</f>
        <v>JOSE RICARDO ANTONIO MOLINA</v>
      </c>
      <c r="M616" s="73">
        <v>1.87</v>
      </c>
      <c r="N616" s="7" t="s">
        <v>2</v>
      </c>
      <c r="O616" s="7" t="s">
        <v>2</v>
      </c>
      <c r="P616" s="10">
        <v>16.04</v>
      </c>
      <c r="Q616" s="29" t="s">
        <v>2</v>
      </c>
      <c r="R616" s="32" t="s">
        <v>2</v>
      </c>
      <c r="S616" s="32" t="s">
        <v>2</v>
      </c>
      <c r="T616" s="29">
        <f t="shared" si="111"/>
        <v>2.0851999999999999</v>
      </c>
      <c r="U616" s="28">
        <f t="shared" si="112"/>
        <v>19.995200000000001</v>
      </c>
      <c r="V616" s="4" t="s">
        <v>3</v>
      </c>
    </row>
    <row r="617" spans="1:22" x14ac:dyDescent="0.25">
      <c r="A617" s="7" t="s">
        <v>1145</v>
      </c>
      <c r="B617" s="4" t="s">
        <v>1182</v>
      </c>
      <c r="C617" s="5" t="str">
        <f t="shared" si="108"/>
        <v>21</v>
      </c>
      <c r="D617" s="5" t="str">
        <f t="shared" si="109"/>
        <v>07</v>
      </c>
      <c r="E617" s="4" t="s">
        <v>30</v>
      </c>
      <c r="F617" s="4" t="s">
        <v>31</v>
      </c>
      <c r="G617" s="8" t="str">
        <f t="shared" si="110"/>
        <v>21/07/2021</v>
      </c>
      <c r="H617" s="4" t="s">
        <v>1</v>
      </c>
      <c r="I617" s="4" t="s">
        <v>0</v>
      </c>
      <c r="J617" s="7" t="s">
        <v>1210</v>
      </c>
      <c r="K617" s="7" t="s">
        <v>28</v>
      </c>
      <c r="L617" s="9" t="str">
        <f>+VLOOKUP(K617,'[1]BASE DE PROVEEDORES'!$A:$B,2,0)</f>
        <v xml:space="preserve">ACTIVIDADES PETROLERAS DE EL SALVADOR S.A DE C.V </v>
      </c>
      <c r="M617" s="73">
        <f>2.55+1.28</f>
        <v>3.83</v>
      </c>
      <c r="N617" s="7" t="s">
        <v>2</v>
      </c>
      <c r="O617" s="7" t="s">
        <v>2</v>
      </c>
      <c r="P617" s="10">
        <v>32.89</v>
      </c>
      <c r="Q617" s="29" t="s">
        <v>2</v>
      </c>
      <c r="R617" s="32" t="s">
        <v>2</v>
      </c>
      <c r="S617" s="32" t="s">
        <v>2</v>
      </c>
      <c r="T617" s="29">
        <f t="shared" si="111"/>
        <v>4.2757000000000005</v>
      </c>
      <c r="U617" s="28">
        <f t="shared" si="112"/>
        <v>40.995699999999999</v>
      </c>
      <c r="V617" s="4" t="s">
        <v>3</v>
      </c>
    </row>
    <row r="618" spans="1:22" x14ac:dyDescent="0.25">
      <c r="A618" s="7" t="s">
        <v>1145</v>
      </c>
      <c r="B618" s="4" t="s">
        <v>1182</v>
      </c>
      <c r="C618" s="5" t="str">
        <f t="shared" si="108"/>
        <v>21</v>
      </c>
      <c r="D618" s="5" t="str">
        <f t="shared" si="109"/>
        <v>07</v>
      </c>
      <c r="E618" s="4" t="s">
        <v>30</v>
      </c>
      <c r="F618" s="4" t="s">
        <v>31</v>
      </c>
      <c r="G618" s="8" t="str">
        <f t="shared" si="110"/>
        <v>21/07/2021</v>
      </c>
      <c r="H618" s="4" t="s">
        <v>1</v>
      </c>
      <c r="I618" s="4" t="s">
        <v>0</v>
      </c>
      <c r="J618" s="7" t="s">
        <v>1321</v>
      </c>
      <c r="K618" s="7" t="s">
        <v>172</v>
      </c>
      <c r="L618" s="9" t="str">
        <f>+VLOOKUP(K618,'[1]BASE DE PROVEEDORES'!$A:$B,2,0)</f>
        <v>MANEJO INTEGRAL DE DESECHOS SOLIDOS SEM DE C.V.</v>
      </c>
      <c r="M618" s="73" t="s">
        <v>2</v>
      </c>
      <c r="N618" s="7" t="s">
        <v>2</v>
      </c>
      <c r="O618" s="7" t="s">
        <v>2</v>
      </c>
      <c r="P618" s="10">
        <v>58.4</v>
      </c>
      <c r="Q618" s="29" t="s">
        <v>2</v>
      </c>
      <c r="R618" s="32" t="s">
        <v>2</v>
      </c>
      <c r="S618" s="32" t="s">
        <v>2</v>
      </c>
      <c r="T618" s="29">
        <f t="shared" si="111"/>
        <v>7.5919999999999996</v>
      </c>
      <c r="U618" s="28">
        <f t="shared" si="112"/>
        <v>65.992000000000004</v>
      </c>
      <c r="V618" s="4" t="s">
        <v>3</v>
      </c>
    </row>
    <row r="619" spans="1:22" x14ac:dyDescent="0.25">
      <c r="A619" s="7" t="s">
        <v>1145</v>
      </c>
      <c r="B619" s="4" t="s">
        <v>884</v>
      </c>
      <c r="C619" s="5" t="str">
        <f t="shared" si="108"/>
        <v>22</v>
      </c>
      <c r="D619" s="5" t="str">
        <f t="shared" si="109"/>
        <v>06</v>
      </c>
      <c r="E619" s="4" t="s">
        <v>30</v>
      </c>
      <c r="F619" s="4" t="s">
        <v>31</v>
      </c>
      <c r="G619" s="8" t="str">
        <f t="shared" si="110"/>
        <v>22/06/2021</v>
      </c>
      <c r="H619" s="4" t="s">
        <v>1</v>
      </c>
      <c r="I619" s="4" t="s">
        <v>0</v>
      </c>
      <c r="J619" s="7" t="s">
        <v>1229</v>
      </c>
      <c r="K619" s="7" t="s">
        <v>161</v>
      </c>
      <c r="L619" s="9" t="str">
        <f>+VLOOKUP(K619,'[1]BASE DE PROVEEDORES'!$A:$B,2,0)</f>
        <v>UNILLANTAS S.A DE C.V.</v>
      </c>
      <c r="M619" s="73" t="s">
        <v>2</v>
      </c>
      <c r="N619" s="7" t="s">
        <v>2</v>
      </c>
      <c r="O619" s="7" t="s">
        <v>2</v>
      </c>
      <c r="P619" s="10">
        <v>345.13</v>
      </c>
      <c r="Q619" s="29" t="s">
        <v>2</v>
      </c>
      <c r="R619" s="32" t="s">
        <v>2</v>
      </c>
      <c r="S619" s="32" t="s">
        <v>2</v>
      </c>
      <c r="T619" s="29">
        <f t="shared" si="111"/>
        <v>44.866900000000001</v>
      </c>
      <c r="U619" s="28">
        <f t="shared" si="112"/>
        <v>389.99689999999998</v>
      </c>
      <c r="V619" s="4" t="s">
        <v>3</v>
      </c>
    </row>
    <row r="620" spans="1:22" x14ac:dyDescent="0.25">
      <c r="A620" s="7" t="s">
        <v>1145</v>
      </c>
      <c r="B620" s="4" t="s">
        <v>884</v>
      </c>
      <c r="C620" s="5" t="str">
        <f t="shared" si="108"/>
        <v>22</v>
      </c>
      <c r="D620" s="5" t="str">
        <f t="shared" si="109"/>
        <v>06</v>
      </c>
      <c r="E620" s="4" t="s">
        <v>30</v>
      </c>
      <c r="F620" s="4" t="s">
        <v>31</v>
      </c>
      <c r="G620" s="8" t="str">
        <f t="shared" si="110"/>
        <v>22/06/2021</v>
      </c>
      <c r="H620" s="4" t="s">
        <v>1</v>
      </c>
      <c r="I620" s="4" t="s">
        <v>0</v>
      </c>
      <c r="J620" s="7" t="s">
        <v>1296</v>
      </c>
      <c r="K620" s="7" t="s">
        <v>24</v>
      </c>
      <c r="L620" s="9" t="str">
        <f>+VLOOKUP(K620,'[1]BASE DE PROVEEDORES'!$A:$B,2,0)</f>
        <v>ECSA OPERADORA EL SALVADOR S.A DE C.V.</v>
      </c>
      <c r="M620" s="73">
        <v>2.72</v>
      </c>
      <c r="N620" s="7" t="s">
        <v>2</v>
      </c>
      <c r="O620" s="7" t="s">
        <v>2</v>
      </c>
      <c r="P620" s="10">
        <v>25.03</v>
      </c>
      <c r="Q620" s="29" t="s">
        <v>2</v>
      </c>
      <c r="R620" s="32" t="s">
        <v>2</v>
      </c>
      <c r="S620" s="32" t="s">
        <v>2</v>
      </c>
      <c r="T620" s="29">
        <f t="shared" si="111"/>
        <v>3.2539000000000002</v>
      </c>
      <c r="U620" s="28">
        <f t="shared" si="112"/>
        <v>31.003900000000002</v>
      </c>
      <c r="V620" s="4" t="s">
        <v>3</v>
      </c>
    </row>
    <row r="621" spans="1:22" x14ac:dyDescent="0.25">
      <c r="A621" s="7" t="s">
        <v>1145</v>
      </c>
      <c r="B621" s="4" t="s">
        <v>1180</v>
      </c>
      <c r="C621" s="5" t="str">
        <f t="shared" si="108"/>
        <v>22</v>
      </c>
      <c r="D621" s="5" t="str">
        <f t="shared" si="109"/>
        <v>07</v>
      </c>
      <c r="E621" s="4" t="s">
        <v>30</v>
      </c>
      <c r="F621" s="4" t="s">
        <v>31</v>
      </c>
      <c r="G621" s="8" t="str">
        <f t="shared" si="110"/>
        <v>22/07/2021</v>
      </c>
      <c r="H621" s="4" t="s">
        <v>1</v>
      </c>
      <c r="I621" s="4" t="s">
        <v>0</v>
      </c>
      <c r="J621" s="7" t="s">
        <v>1184</v>
      </c>
      <c r="K621" s="7" t="s">
        <v>45</v>
      </c>
      <c r="L621" s="9" t="str">
        <f>+VLOOKUP(K621,'[1]BASE DE PROVEEDORES'!$A:$B,2,0)</f>
        <v>JOSE RICARDO ANTONIO MOLINA</v>
      </c>
      <c r="M621" s="73">
        <f>7.17+3.58</f>
        <v>10.75</v>
      </c>
      <c r="N621" s="7" t="s">
        <v>2</v>
      </c>
      <c r="O621" s="7" t="s">
        <v>2</v>
      </c>
      <c r="P621" s="10">
        <v>92.26</v>
      </c>
      <c r="Q621" s="29" t="s">
        <v>2</v>
      </c>
      <c r="R621" s="32" t="s">
        <v>2</v>
      </c>
      <c r="S621" s="32" t="s">
        <v>2</v>
      </c>
      <c r="T621" s="29">
        <f t="shared" si="111"/>
        <v>11.9938</v>
      </c>
      <c r="U621" s="28">
        <f t="shared" si="112"/>
        <v>115.00380000000001</v>
      </c>
      <c r="V621" s="4" t="s">
        <v>3</v>
      </c>
    </row>
    <row r="622" spans="1:22" x14ac:dyDescent="0.25">
      <c r="A622" s="7" t="s">
        <v>1145</v>
      </c>
      <c r="B622" s="4" t="s">
        <v>1180</v>
      </c>
      <c r="C622" s="5" t="str">
        <f t="shared" si="108"/>
        <v>22</v>
      </c>
      <c r="D622" s="5" t="str">
        <f t="shared" si="109"/>
        <v>07</v>
      </c>
      <c r="E622" s="4" t="s">
        <v>30</v>
      </c>
      <c r="F622" s="4" t="s">
        <v>31</v>
      </c>
      <c r="G622" s="8" t="str">
        <f t="shared" si="110"/>
        <v>22/07/2021</v>
      </c>
      <c r="H622" s="4" t="s">
        <v>1</v>
      </c>
      <c r="I622" s="4" t="s">
        <v>0</v>
      </c>
      <c r="J622" s="7" t="s">
        <v>1185</v>
      </c>
      <c r="K622" s="7" t="s">
        <v>45</v>
      </c>
      <c r="L622" s="9" t="str">
        <f>+VLOOKUP(K622,'[1]BASE DE PROVEEDORES'!$A:$B,2,0)</f>
        <v>JOSE RICARDO ANTONIO MOLINA</v>
      </c>
      <c r="M622" s="73">
        <f>7.02+3.51</f>
        <v>10.53</v>
      </c>
      <c r="N622" s="7" t="s">
        <v>2</v>
      </c>
      <c r="O622" s="7" t="s">
        <v>2</v>
      </c>
      <c r="P622" s="10">
        <v>90.33</v>
      </c>
      <c r="Q622" s="29" t="s">
        <v>2</v>
      </c>
      <c r="R622" s="32" t="s">
        <v>2</v>
      </c>
      <c r="S622" s="32" t="s">
        <v>2</v>
      </c>
      <c r="T622" s="29">
        <f t="shared" si="111"/>
        <v>11.742900000000001</v>
      </c>
      <c r="U622" s="28">
        <f t="shared" si="112"/>
        <v>112.60290000000001</v>
      </c>
      <c r="V622" s="4" t="s">
        <v>3</v>
      </c>
    </row>
    <row r="623" spans="1:22" x14ac:dyDescent="0.25">
      <c r="A623" s="7" t="s">
        <v>1145</v>
      </c>
      <c r="B623" s="4" t="s">
        <v>1180</v>
      </c>
      <c r="C623" s="5" t="str">
        <f t="shared" si="108"/>
        <v>22</v>
      </c>
      <c r="D623" s="5" t="str">
        <f t="shared" si="109"/>
        <v>07</v>
      </c>
      <c r="E623" s="4" t="s">
        <v>30</v>
      </c>
      <c r="F623" s="4" t="s">
        <v>31</v>
      </c>
      <c r="G623" s="8" t="str">
        <f t="shared" si="110"/>
        <v>22/07/2021</v>
      </c>
      <c r="H623" s="4" t="s">
        <v>1</v>
      </c>
      <c r="I623" s="4" t="s">
        <v>0</v>
      </c>
      <c r="J623" s="7" t="s">
        <v>1278</v>
      </c>
      <c r="K623" s="7" t="s">
        <v>45</v>
      </c>
      <c r="L623" s="9" t="str">
        <f>+VLOOKUP(K623,'[1]BASE DE PROVEEDORES'!$A:$B,2,0)</f>
        <v>JOSE RICARDO ANTONIO MOLINA</v>
      </c>
      <c r="M623" s="73">
        <v>0.36</v>
      </c>
      <c r="N623" s="7" t="s">
        <v>2</v>
      </c>
      <c r="O623" s="7" t="s">
        <v>2</v>
      </c>
      <c r="P623" s="10">
        <v>3.44</v>
      </c>
      <c r="Q623" s="29" t="s">
        <v>2</v>
      </c>
      <c r="R623" s="32" t="s">
        <v>2</v>
      </c>
      <c r="S623" s="32" t="s">
        <v>2</v>
      </c>
      <c r="T623" s="29">
        <f t="shared" si="111"/>
        <v>0.44719999999999999</v>
      </c>
      <c r="U623" s="28">
        <f t="shared" si="112"/>
        <v>4.2471999999999994</v>
      </c>
      <c r="V623" s="4" t="s">
        <v>3</v>
      </c>
    </row>
    <row r="624" spans="1:22" x14ac:dyDescent="0.25">
      <c r="A624" s="7" t="s">
        <v>1145</v>
      </c>
      <c r="B624" s="4" t="s">
        <v>1254</v>
      </c>
      <c r="C624" s="5" t="str">
        <f t="shared" si="108"/>
        <v>23</v>
      </c>
      <c r="D624" s="5" t="str">
        <f t="shared" si="109"/>
        <v>05</v>
      </c>
      <c r="E624" s="4" t="s">
        <v>30</v>
      </c>
      <c r="F624" s="4" t="s">
        <v>31</v>
      </c>
      <c r="G624" s="8" t="str">
        <f t="shared" si="110"/>
        <v>23/05/2021</v>
      </c>
      <c r="H624" s="4" t="s">
        <v>1</v>
      </c>
      <c r="I624" s="4" t="s">
        <v>0</v>
      </c>
      <c r="J624" s="7" t="s">
        <v>1255</v>
      </c>
      <c r="K624" s="7" t="s">
        <v>770</v>
      </c>
      <c r="L624" s="9" t="str">
        <f>+VLOOKUP(K624,'[1]BASE DE PROVEEDORES'!$A:$B,2,0)</f>
        <v>RAFAEL RENE CANALES PINAUD</v>
      </c>
      <c r="M624" s="73">
        <f>2.43+1.22</f>
        <v>3.6500000000000004</v>
      </c>
      <c r="N624" s="7" t="s">
        <v>2</v>
      </c>
      <c r="O624" s="7" t="s">
        <v>2</v>
      </c>
      <c r="P624" s="10">
        <v>29.38</v>
      </c>
      <c r="Q624" s="29" t="s">
        <v>2</v>
      </c>
      <c r="R624" s="32" t="s">
        <v>2</v>
      </c>
      <c r="S624" s="32" t="s">
        <v>2</v>
      </c>
      <c r="T624" s="29">
        <f t="shared" si="111"/>
        <v>3.8193999999999999</v>
      </c>
      <c r="U624" s="28">
        <f t="shared" si="112"/>
        <v>36.849400000000003</v>
      </c>
      <c r="V624" s="4" t="s">
        <v>3</v>
      </c>
    </row>
    <row r="625" spans="1:22" x14ac:dyDescent="0.25">
      <c r="A625" s="7" t="s">
        <v>1145</v>
      </c>
      <c r="B625" s="4" t="s">
        <v>903</v>
      </c>
      <c r="C625" s="5" t="str">
        <f t="shared" si="108"/>
        <v>23</v>
      </c>
      <c r="D625" s="5" t="str">
        <f t="shared" si="109"/>
        <v>06</v>
      </c>
      <c r="E625" s="4" t="s">
        <v>30</v>
      </c>
      <c r="F625" s="4" t="s">
        <v>31</v>
      </c>
      <c r="G625" s="8" t="str">
        <f t="shared" si="110"/>
        <v>23/06/2021</v>
      </c>
      <c r="H625" s="4" t="s">
        <v>1</v>
      </c>
      <c r="I625" s="4" t="s">
        <v>0</v>
      </c>
      <c r="J625" s="7" t="s">
        <v>1233</v>
      </c>
      <c r="K625" s="7" t="s">
        <v>112</v>
      </c>
      <c r="L625" s="9" t="str">
        <f>+VLOOKUP(K625,'[1]BASE DE PROVEEDORES'!$A:$B,2,0)</f>
        <v>ALPINA S.A DE C.V.</v>
      </c>
      <c r="M625" s="73" t="s">
        <v>2</v>
      </c>
      <c r="N625" s="7" t="s">
        <v>2</v>
      </c>
      <c r="O625" s="7" t="s">
        <v>2</v>
      </c>
      <c r="P625" s="10">
        <v>149.49</v>
      </c>
      <c r="Q625" s="29" t="s">
        <v>2</v>
      </c>
      <c r="R625" s="32" t="s">
        <v>2</v>
      </c>
      <c r="S625" s="32" t="s">
        <v>2</v>
      </c>
      <c r="T625" s="29">
        <f t="shared" si="111"/>
        <v>19.433700000000002</v>
      </c>
      <c r="U625" s="28">
        <f t="shared" si="112"/>
        <v>168.9237</v>
      </c>
      <c r="V625" s="4" t="s">
        <v>3</v>
      </c>
    </row>
    <row r="626" spans="1:22" x14ac:dyDescent="0.25">
      <c r="A626" s="7" t="s">
        <v>1145</v>
      </c>
      <c r="B626" s="4" t="s">
        <v>903</v>
      </c>
      <c r="C626" s="5" t="str">
        <f t="shared" si="108"/>
        <v>23</v>
      </c>
      <c r="D626" s="5" t="str">
        <f t="shared" si="109"/>
        <v>06</v>
      </c>
      <c r="E626" s="4" t="s">
        <v>30</v>
      </c>
      <c r="F626" s="4" t="s">
        <v>31</v>
      </c>
      <c r="G626" s="8" t="str">
        <f t="shared" si="110"/>
        <v>23/06/2021</v>
      </c>
      <c r="H626" s="4" t="s">
        <v>1</v>
      </c>
      <c r="I626" s="4" t="s">
        <v>0</v>
      </c>
      <c r="J626" s="7" t="s">
        <v>1261</v>
      </c>
      <c r="K626" s="7" t="s">
        <v>126</v>
      </c>
      <c r="L626" s="9" t="str">
        <f>+VLOOKUP(K626,'[1]BASE DE PROVEEDORES'!$A:$B,2,0)</f>
        <v>REPUESTOS IZALCO S.A DE C.V.</v>
      </c>
      <c r="M626" s="73" t="s">
        <v>2</v>
      </c>
      <c r="N626" s="7" t="s">
        <v>2</v>
      </c>
      <c r="O626" s="7" t="s">
        <v>2</v>
      </c>
      <c r="P626" s="10">
        <v>60.16</v>
      </c>
      <c r="Q626" s="29" t="s">
        <v>2</v>
      </c>
      <c r="R626" s="32" t="s">
        <v>2</v>
      </c>
      <c r="S626" s="32" t="s">
        <v>2</v>
      </c>
      <c r="T626" s="29">
        <f t="shared" si="111"/>
        <v>7.8208000000000002</v>
      </c>
      <c r="U626" s="28">
        <f t="shared" si="112"/>
        <v>67.980800000000002</v>
      </c>
      <c r="V626" s="4" t="s">
        <v>3</v>
      </c>
    </row>
    <row r="627" spans="1:22" x14ac:dyDescent="0.25">
      <c r="A627" s="7" t="s">
        <v>1145</v>
      </c>
      <c r="B627" s="4" t="s">
        <v>903</v>
      </c>
      <c r="C627" s="5" t="str">
        <f t="shared" si="108"/>
        <v>23</v>
      </c>
      <c r="D627" s="5" t="str">
        <f t="shared" si="109"/>
        <v>06</v>
      </c>
      <c r="E627" s="4" t="s">
        <v>30</v>
      </c>
      <c r="F627" s="4" t="s">
        <v>31</v>
      </c>
      <c r="G627" s="8" t="str">
        <f t="shared" si="110"/>
        <v>23/06/2021</v>
      </c>
      <c r="H627" s="4" t="s">
        <v>1</v>
      </c>
      <c r="I627" s="4" t="s">
        <v>0</v>
      </c>
      <c r="J627" s="7" t="s">
        <v>1272</v>
      </c>
      <c r="K627" s="7" t="s">
        <v>21</v>
      </c>
      <c r="L627" s="9" t="str">
        <f>+VLOOKUP(K627,'[1]BASE DE PROVEEDORES'!$A:$B,2,0)</f>
        <v>FREUND S.A DE C.V.</v>
      </c>
      <c r="M627" s="73" t="s">
        <v>2</v>
      </c>
      <c r="N627" s="7" t="s">
        <v>2</v>
      </c>
      <c r="O627" s="7" t="s">
        <v>2</v>
      </c>
      <c r="P627" s="10">
        <v>34.47</v>
      </c>
      <c r="Q627" s="29" t="s">
        <v>2</v>
      </c>
      <c r="R627" s="32" t="s">
        <v>2</v>
      </c>
      <c r="S627" s="32" t="s">
        <v>2</v>
      </c>
      <c r="T627" s="29">
        <f t="shared" si="111"/>
        <v>4.4810999999999996</v>
      </c>
      <c r="U627" s="28">
        <f t="shared" si="112"/>
        <v>38.951099999999997</v>
      </c>
      <c r="V627" s="4" t="s">
        <v>3</v>
      </c>
    </row>
    <row r="628" spans="1:22" x14ac:dyDescent="0.25">
      <c r="A628" s="7" t="s">
        <v>1145</v>
      </c>
      <c r="B628" s="4" t="s">
        <v>1207</v>
      </c>
      <c r="C628" s="5" t="str">
        <f t="shared" si="108"/>
        <v>23</v>
      </c>
      <c r="D628" s="5" t="str">
        <f t="shared" si="109"/>
        <v>07</v>
      </c>
      <c r="E628" s="4" t="s">
        <v>30</v>
      </c>
      <c r="F628" s="4" t="s">
        <v>31</v>
      </c>
      <c r="G628" s="8" t="str">
        <f t="shared" si="110"/>
        <v>23/07/2021</v>
      </c>
      <c r="H628" s="4" t="s">
        <v>1</v>
      </c>
      <c r="I628" s="4" t="s">
        <v>0</v>
      </c>
      <c r="J628" s="7" t="s">
        <v>1208</v>
      </c>
      <c r="K628" s="7" t="s">
        <v>28</v>
      </c>
      <c r="L628" s="9" t="str">
        <f>+VLOOKUP(K628,'[1]BASE DE PROVEEDORES'!$A:$B,2,0)</f>
        <v xml:space="preserve">ACTIVIDADES PETROLERAS DE EL SALVADOR S.A DE C.V </v>
      </c>
      <c r="M628" s="73">
        <f>1.57+0.78</f>
        <v>2.35</v>
      </c>
      <c r="N628" s="7" t="s">
        <v>2</v>
      </c>
      <c r="O628" s="7" t="s">
        <v>2</v>
      </c>
      <c r="P628" s="10">
        <v>38.340000000000003</v>
      </c>
      <c r="Q628" s="29" t="s">
        <v>2</v>
      </c>
      <c r="R628" s="32" t="s">
        <v>2</v>
      </c>
      <c r="S628" s="32" t="s">
        <v>2</v>
      </c>
      <c r="T628" s="29">
        <f t="shared" si="111"/>
        <v>4.9842000000000004</v>
      </c>
      <c r="U628" s="28">
        <f t="shared" si="112"/>
        <v>45.674200000000006</v>
      </c>
      <c r="V628" s="4" t="s">
        <v>3</v>
      </c>
    </row>
    <row r="629" spans="1:22" x14ac:dyDescent="0.25">
      <c r="A629" s="7" t="s">
        <v>1145</v>
      </c>
      <c r="B629" s="4" t="s">
        <v>1207</v>
      </c>
      <c r="C629" s="5" t="str">
        <f t="shared" si="108"/>
        <v>23</v>
      </c>
      <c r="D629" s="5" t="str">
        <f t="shared" si="109"/>
        <v>07</v>
      </c>
      <c r="E629" s="4" t="s">
        <v>30</v>
      </c>
      <c r="F629" s="4" t="s">
        <v>31</v>
      </c>
      <c r="G629" s="8" t="str">
        <f t="shared" si="110"/>
        <v>23/07/2021</v>
      </c>
      <c r="H629" s="4" t="s">
        <v>1</v>
      </c>
      <c r="I629" s="4" t="s">
        <v>0</v>
      </c>
      <c r="J629" s="7" t="s">
        <v>1209</v>
      </c>
      <c r="K629" s="7" t="s">
        <v>28</v>
      </c>
      <c r="L629" s="9" t="str">
        <f>+VLOOKUP(K629,'[1]BASE DE PROVEEDORES'!$A:$B,2,0)</f>
        <v xml:space="preserve">ACTIVIDADES PETROLERAS DE EL SALVADOR S.A DE C.V </v>
      </c>
      <c r="M629" s="73">
        <f>1.86+0.94</f>
        <v>2.8</v>
      </c>
      <c r="N629" s="7" t="s">
        <v>2</v>
      </c>
      <c r="O629" s="7" t="s">
        <v>2</v>
      </c>
      <c r="P629" s="10">
        <v>24.07</v>
      </c>
      <c r="Q629" s="29" t="s">
        <v>2</v>
      </c>
      <c r="R629" s="32" t="s">
        <v>2</v>
      </c>
      <c r="S629" s="32" t="s">
        <v>2</v>
      </c>
      <c r="T629" s="29">
        <f t="shared" si="111"/>
        <v>3.1291000000000002</v>
      </c>
      <c r="U629" s="28">
        <f t="shared" si="112"/>
        <v>29.999100000000002</v>
      </c>
      <c r="V629" s="4" t="s">
        <v>3</v>
      </c>
    </row>
    <row r="630" spans="1:22" x14ac:dyDescent="0.25">
      <c r="A630" s="7" t="s">
        <v>1145</v>
      </c>
      <c r="B630" s="4" t="s">
        <v>1207</v>
      </c>
      <c r="C630" s="5" t="str">
        <f t="shared" si="108"/>
        <v>23</v>
      </c>
      <c r="D630" s="5" t="str">
        <f t="shared" si="109"/>
        <v>07</v>
      </c>
      <c r="E630" s="4" t="s">
        <v>30</v>
      </c>
      <c r="F630" s="4" t="s">
        <v>31</v>
      </c>
      <c r="G630" s="8" t="str">
        <f t="shared" si="110"/>
        <v>23/07/2021</v>
      </c>
      <c r="H630" s="4" t="s">
        <v>1</v>
      </c>
      <c r="I630" s="4" t="s">
        <v>0</v>
      </c>
      <c r="J630" s="7" t="s">
        <v>1310</v>
      </c>
      <c r="K630" s="7" t="s">
        <v>172</v>
      </c>
      <c r="L630" s="9" t="str">
        <f>+VLOOKUP(K630,'[1]BASE DE PROVEEDORES'!$A:$B,2,0)</f>
        <v>MANEJO INTEGRAL DE DESECHOS SOLIDOS SEM DE C.V.</v>
      </c>
      <c r="M630" s="73" t="s">
        <v>2</v>
      </c>
      <c r="N630" s="7" t="s">
        <v>2</v>
      </c>
      <c r="O630" s="7" t="s">
        <v>2</v>
      </c>
      <c r="P630" s="10">
        <v>39.03</v>
      </c>
      <c r="Q630" s="29" t="s">
        <v>2</v>
      </c>
      <c r="R630" s="32" t="s">
        <v>2</v>
      </c>
      <c r="S630" s="32" t="s">
        <v>2</v>
      </c>
      <c r="T630" s="29">
        <f t="shared" si="111"/>
        <v>5.0739000000000001</v>
      </c>
      <c r="U630" s="28">
        <f t="shared" si="112"/>
        <v>44.103900000000003</v>
      </c>
      <c r="V630" s="4" t="s">
        <v>3</v>
      </c>
    </row>
    <row r="631" spans="1:22" x14ac:dyDescent="0.25">
      <c r="A631" s="7" t="s">
        <v>1145</v>
      </c>
      <c r="B631" s="4" t="s">
        <v>1207</v>
      </c>
      <c r="C631" s="5" t="str">
        <f t="shared" si="108"/>
        <v>23</v>
      </c>
      <c r="D631" s="5" t="str">
        <f t="shared" si="109"/>
        <v>07</v>
      </c>
      <c r="E631" s="4" t="s">
        <v>30</v>
      </c>
      <c r="F631" s="4" t="s">
        <v>31</v>
      </c>
      <c r="G631" s="8" t="str">
        <f t="shared" si="110"/>
        <v>23/07/2021</v>
      </c>
      <c r="H631" s="4" t="s">
        <v>1</v>
      </c>
      <c r="I631" s="4" t="s">
        <v>0</v>
      </c>
      <c r="J631" s="7" t="s">
        <v>1322</v>
      </c>
      <c r="K631" s="7" t="s">
        <v>172</v>
      </c>
      <c r="L631" s="9" t="str">
        <f>+VLOOKUP(K631,'[1]BASE DE PROVEEDORES'!$A:$B,2,0)</f>
        <v>MANEJO INTEGRAL DE DESECHOS SOLIDOS SEM DE C.V.</v>
      </c>
      <c r="M631" s="73" t="s">
        <v>2</v>
      </c>
      <c r="N631" s="7" t="s">
        <v>2</v>
      </c>
      <c r="O631" s="7" t="s">
        <v>2</v>
      </c>
      <c r="P631" s="10">
        <v>41.83</v>
      </c>
      <c r="Q631" s="29" t="s">
        <v>2</v>
      </c>
      <c r="R631" s="32" t="s">
        <v>2</v>
      </c>
      <c r="S631" s="32" t="s">
        <v>2</v>
      </c>
      <c r="T631" s="29">
        <f t="shared" si="111"/>
        <v>5.4379</v>
      </c>
      <c r="U631" s="28">
        <f t="shared" si="112"/>
        <v>47.267899999999997</v>
      </c>
      <c r="V631" s="4" t="s">
        <v>3</v>
      </c>
    </row>
    <row r="632" spans="1:22" x14ac:dyDescent="0.25">
      <c r="A632" s="7" t="s">
        <v>1145</v>
      </c>
      <c r="B632" s="4" t="s">
        <v>1207</v>
      </c>
      <c r="C632" s="5" t="str">
        <f t="shared" si="108"/>
        <v>23</v>
      </c>
      <c r="D632" s="5" t="str">
        <f t="shared" si="109"/>
        <v>07</v>
      </c>
      <c r="E632" s="4" t="s">
        <v>30</v>
      </c>
      <c r="F632" s="4" t="s">
        <v>31</v>
      </c>
      <c r="G632" s="8" t="str">
        <f t="shared" si="110"/>
        <v>23/07/2021</v>
      </c>
      <c r="H632" s="4" t="s">
        <v>1</v>
      </c>
      <c r="I632" s="4" t="s">
        <v>0</v>
      </c>
      <c r="J632" s="7" t="s">
        <v>528</v>
      </c>
      <c r="K632" s="7" t="s">
        <v>172</v>
      </c>
      <c r="L632" s="9" t="str">
        <f>+VLOOKUP(K632,'[1]BASE DE PROVEEDORES'!$A:$B,2,0)</f>
        <v>MANEJO INTEGRAL DE DESECHOS SOLIDOS SEM DE C.V.</v>
      </c>
      <c r="M632" s="73" t="s">
        <v>2</v>
      </c>
      <c r="N632" s="7" t="s">
        <v>2</v>
      </c>
      <c r="O632" s="7" t="s">
        <v>2</v>
      </c>
      <c r="P632" s="10">
        <v>56.26</v>
      </c>
      <c r="Q632" s="29" t="s">
        <v>2</v>
      </c>
      <c r="R632" s="32" t="s">
        <v>2</v>
      </c>
      <c r="S632" s="32" t="s">
        <v>2</v>
      </c>
      <c r="T632" s="29">
        <f t="shared" si="111"/>
        <v>7.3137999999999996</v>
      </c>
      <c r="U632" s="28">
        <f t="shared" si="112"/>
        <v>63.573799999999999</v>
      </c>
      <c r="V632" s="4" t="s">
        <v>3</v>
      </c>
    </row>
    <row r="633" spans="1:22" x14ac:dyDescent="0.25">
      <c r="A633" s="7" t="s">
        <v>1145</v>
      </c>
      <c r="B633" s="4" t="s">
        <v>886</v>
      </c>
      <c r="C633" s="5" t="str">
        <f t="shared" si="108"/>
        <v>24</v>
      </c>
      <c r="D633" s="5" t="str">
        <f t="shared" si="109"/>
        <v>06</v>
      </c>
      <c r="E633" s="4" t="s">
        <v>30</v>
      </c>
      <c r="F633" s="4" t="s">
        <v>31</v>
      </c>
      <c r="G633" s="8" t="str">
        <f t="shared" si="110"/>
        <v>24/06/2021</v>
      </c>
      <c r="H633" s="4" t="s">
        <v>1</v>
      </c>
      <c r="I633" s="4" t="s">
        <v>0</v>
      </c>
      <c r="J633" s="7" t="s">
        <v>1270</v>
      </c>
      <c r="K633" s="7" t="s">
        <v>1271</v>
      </c>
      <c r="L633" s="9" t="str">
        <f>+VLOOKUP(K633,'[1]BASE DE PROVEEDORES'!$A:$B,2,0)</f>
        <v>EDWARD LEONIDAS GUITIERREZ PORTILLO</v>
      </c>
      <c r="M633" s="73">
        <v>3.84</v>
      </c>
      <c r="N633" s="7" t="s">
        <v>2</v>
      </c>
      <c r="O633" s="7" t="s">
        <v>2</v>
      </c>
      <c r="P633" s="10">
        <v>32</v>
      </c>
      <c r="Q633" s="29" t="s">
        <v>2</v>
      </c>
      <c r="R633" s="32" t="s">
        <v>2</v>
      </c>
      <c r="S633" s="32" t="s">
        <v>2</v>
      </c>
      <c r="T633" s="29">
        <f t="shared" si="111"/>
        <v>4.16</v>
      </c>
      <c r="U633" s="28">
        <f t="shared" si="112"/>
        <v>40</v>
      </c>
      <c r="V633" s="4" t="s">
        <v>3</v>
      </c>
    </row>
    <row r="634" spans="1:22" x14ac:dyDescent="0.25">
      <c r="A634" s="7" t="s">
        <v>1145</v>
      </c>
      <c r="B634" s="4" t="s">
        <v>886</v>
      </c>
      <c r="C634" s="5" t="str">
        <f t="shared" si="108"/>
        <v>24</v>
      </c>
      <c r="D634" s="5" t="str">
        <f t="shared" si="109"/>
        <v>06</v>
      </c>
      <c r="E634" s="4" t="s">
        <v>30</v>
      </c>
      <c r="F634" s="4" t="s">
        <v>31</v>
      </c>
      <c r="G634" s="8" t="str">
        <f t="shared" si="110"/>
        <v>24/06/2021</v>
      </c>
      <c r="H634" s="4" t="s">
        <v>1</v>
      </c>
      <c r="I634" s="4" t="s">
        <v>0</v>
      </c>
      <c r="J634" s="7" t="s">
        <v>1298</v>
      </c>
      <c r="K634" s="7" t="s">
        <v>29</v>
      </c>
      <c r="L634" s="9" t="str">
        <f>+VLOOKUP(K634,'[1]BASE DE PROVEEDORES'!$A:$B,2,0)</f>
        <v xml:space="preserve">LA CASA DEL REPUESTO S.A DE C.V. </v>
      </c>
      <c r="M634" s="73" t="s">
        <v>2</v>
      </c>
      <c r="N634" s="7" t="s">
        <v>2</v>
      </c>
      <c r="O634" s="7" t="s">
        <v>2</v>
      </c>
      <c r="P634" s="10">
        <v>40.46</v>
      </c>
      <c r="Q634" s="29" t="s">
        <v>2</v>
      </c>
      <c r="R634" s="32" t="s">
        <v>2</v>
      </c>
      <c r="S634" s="32" t="s">
        <v>2</v>
      </c>
      <c r="T634" s="29">
        <f t="shared" si="111"/>
        <v>5.2598000000000003</v>
      </c>
      <c r="U634" s="28">
        <f t="shared" si="112"/>
        <v>45.719799999999999</v>
      </c>
      <c r="V634" s="4" t="s">
        <v>3</v>
      </c>
    </row>
    <row r="635" spans="1:22" x14ac:dyDescent="0.25">
      <c r="A635" s="7" t="s">
        <v>1145</v>
      </c>
      <c r="B635" s="4" t="s">
        <v>1205</v>
      </c>
      <c r="C635" s="5" t="str">
        <f t="shared" si="108"/>
        <v>24</v>
      </c>
      <c r="D635" s="5" t="str">
        <f t="shared" si="109"/>
        <v>07</v>
      </c>
      <c r="E635" s="4" t="s">
        <v>30</v>
      </c>
      <c r="F635" s="4" t="s">
        <v>31</v>
      </c>
      <c r="G635" s="8" t="str">
        <f t="shared" si="110"/>
        <v>24/07/2021</v>
      </c>
      <c r="H635" s="4" t="s">
        <v>1</v>
      </c>
      <c r="I635" s="4" t="s">
        <v>0</v>
      </c>
      <c r="J635" s="7" t="s">
        <v>1206</v>
      </c>
      <c r="K635" s="7" t="s">
        <v>28</v>
      </c>
      <c r="L635" s="9" t="str">
        <f>+VLOOKUP(K635,'[1]BASE DE PROVEEDORES'!$A:$B,2,0)</f>
        <v xml:space="preserve">ACTIVIDADES PETROLERAS DE EL SALVADOR S.A DE C.V </v>
      </c>
      <c r="M635" s="73">
        <f>1.68+0.84</f>
        <v>2.52</v>
      </c>
      <c r="N635" s="7" t="s">
        <v>2</v>
      </c>
      <c r="O635" s="7" t="s">
        <v>2</v>
      </c>
      <c r="P635" s="10">
        <v>21.66</v>
      </c>
      <c r="Q635" s="29" t="s">
        <v>2</v>
      </c>
      <c r="R635" s="32" t="s">
        <v>2</v>
      </c>
      <c r="S635" s="32" t="s">
        <v>2</v>
      </c>
      <c r="T635" s="29">
        <f t="shared" si="111"/>
        <v>2.8158000000000003</v>
      </c>
      <c r="U635" s="28">
        <f t="shared" si="112"/>
        <v>26.995799999999999</v>
      </c>
      <c r="V635" s="4" t="s">
        <v>3</v>
      </c>
    </row>
    <row r="636" spans="1:22" x14ac:dyDescent="0.25">
      <c r="A636" s="7" t="s">
        <v>1145</v>
      </c>
      <c r="B636" s="4" t="s">
        <v>1205</v>
      </c>
      <c r="C636" s="5" t="str">
        <f t="shared" si="108"/>
        <v>24</v>
      </c>
      <c r="D636" s="5" t="str">
        <f t="shared" si="109"/>
        <v>07</v>
      </c>
      <c r="E636" s="4" t="s">
        <v>30</v>
      </c>
      <c r="F636" s="4" t="s">
        <v>31</v>
      </c>
      <c r="G636" s="8" t="str">
        <f t="shared" si="110"/>
        <v>24/07/2021</v>
      </c>
      <c r="H636" s="4" t="s">
        <v>1</v>
      </c>
      <c r="I636" s="4" t="s">
        <v>0</v>
      </c>
      <c r="J636" s="7" t="s">
        <v>1245</v>
      </c>
      <c r="K636" s="7" t="s">
        <v>1246</v>
      </c>
      <c r="L636" s="9" t="str">
        <f>+VLOOKUP(K636,'[1]BASE DE PROVEEDORES'!$A:$B,2,0)</f>
        <v>SAMUEL ELIAS RIVAS MOZ</v>
      </c>
      <c r="M636" s="73" t="s">
        <v>2</v>
      </c>
      <c r="N636" s="7" t="s">
        <v>2</v>
      </c>
      <c r="O636" s="7" t="s">
        <v>2</v>
      </c>
      <c r="P636" s="10">
        <v>60</v>
      </c>
      <c r="Q636" s="29" t="s">
        <v>2</v>
      </c>
      <c r="R636" s="32" t="s">
        <v>2</v>
      </c>
      <c r="S636" s="32" t="s">
        <v>2</v>
      </c>
      <c r="T636" s="29">
        <f t="shared" si="111"/>
        <v>7.8000000000000007</v>
      </c>
      <c r="U636" s="28">
        <f t="shared" si="112"/>
        <v>67.8</v>
      </c>
      <c r="V636" s="4" t="s">
        <v>3</v>
      </c>
    </row>
    <row r="637" spans="1:22" x14ac:dyDescent="0.25">
      <c r="A637" s="7" t="s">
        <v>1145</v>
      </c>
      <c r="B637" s="4" t="s">
        <v>1205</v>
      </c>
      <c r="C637" s="5" t="str">
        <f t="shared" si="108"/>
        <v>24</v>
      </c>
      <c r="D637" s="5" t="str">
        <f t="shared" si="109"/>
        <v>07</v>
      </c>
      <c r="E637" s="4" t="s">
        <v>30</v>
      </c>
      <c r="F637" s="4" t="s">
        <v>31</v>
      </c>
      <c r="G637" s="8" t="str">
        <f t="shared" si="110"/>
        <v>24/07/2021</v>
      </c>
      <c r="H637" s="4" t="s">
        <v>1</v>
      </c>
      <c r="I637" s="4" t="s">
        <v>0</v>
      </c>
      <c r="J637" s="7" t="s">
        <v>1285</v>
      </c>
      <c r="K637" s="7" t="s">
        <v>126</v>
      </c>
      <c r="L637" s="9" t="str">
        <f>+VLOOKUP(K637,'[1]BASE DE PROVEEDORES'!$A:$B,2,0)</f>
        <v>REPUESTOS IZALCO S.A DE C.V.</v>
      </c>
      <c r="M637" s="73" t="s">
        <v>2</v>
      </c>
      <c r="N637" s="7" t="s">
        <v>2</v>
      </c>
      <c r="O637" s="7" t="s">
        <v>2</v>
      </c>
      <c r="P637" s="10">
        <v>9.9</v>
      </c>
      <c r="Q637" s="29" t="s">
        <v>2</v>
      </c>
      <c r="R637" s="32" t="s">
        <v>2</v>
      </c>
      <c r="S637" s="32" t="s">
        <v>2</v>
      </c>
      <c r="T637" s="29">
        <f t="shared" si="111"/>
        <v>1.2870000000000001</v>
      </c>
      <c r="U637" s="28">
        <f t="shared" si="112"/>
        <v>11.187000000000001</v>
      </c>
      <c r="V637" s="4" t="s">
        <v>3</v>
      </c>
    </row>
    <row r="638" spans="1:22" x14ac:dyDescent="0.25">
      <c r="A638" s="7" t="s">
        <v>1145</v>
      </c>
      <c r="B638" s="4" t="s">
        <v>1205</v>
      </c>
      <c r="C638" s="5" t="str">
        <f t="shared" si="108"/>
        <v>24</v>
      </c>
      <c r="D638" s="5" t="str">
        <f t="shared" si="109"/>
        <v>07</v>
      </c>
      <c r="E638" s="4" t="s">
        <v>30</v>
      </c>
      <c r="F638" s="4" t="s">
        <v>31</v>
      </c>
      <c r="G638" s="8" t="str">
        <f t="shared" si="110"/>
        <v>24/07/2021</v>
      </c>
      <c r="H638" s="4" t="s">
        <v>1</v>
      </c>
      <c r="I638" s="4" t="s">
        <v>0</v>
      </c>
      <c r="J638" s="7" t="s">
        <v>1323</v>
      </c>
      <c r="K638" s="7" t="s">
        <v>172</v>
      </c>
      <c r="L638" s="9" t="str">
        <f>+VLOOKUP(K638,'[1]BASE DE PROVEEDORES'!$A:$B,2,0)</f>
        <v>MANEJO INTEGRAL DE DESECHOS SOLIDOS SEM DE C.V.</v>
      </c>
      <c r="M638" s="73" t="s">
        <v>2</v>
      </c>
      <c r="N638" s="7" t="s">
        <v>2</v>
      </c>
      <c r="O638" s="7" t="s">
        <v>2</v>
      </c>
      <c r="P638" s="10">
        <v>39.31</v>
      </c>
      <c r="Q638" s="29" t="s">
        <v>2</v>
      </c>
      <c r="R638" s="32" t="s">
        <v>2</v>
      </c>
      <c r="S638" s="32" t="s">
        <v>2</v>
      </c>
      <c r="T638" s="29">
        <f t="shared" si="111"/>
        <v>5.1103000000000005</v>
      </c>
      <c r="U638" s="28">
        <f t="shared" si="112"/>
        <v>44.420300000000005</v>
      </c>
      <c r="V638" s="4" t="s">
        <v>3</v>
      </c>
    </row>
    <row r="639" spans="1:22" x14ac:dyDescent="0.25">
      <c r="A639" s="7" t="s">
        <v>1145</v>
      </c>
      <c r="B639" s="4" t="s">
        <v>710</v>
      </c>
      <c r="C639" s="5" t="str">
        <f t="shared" si="108"/>
        <v>25</v>
      </c>
      <c r="D639" s="5" t="str">
        <f t="shared" si="109"/>
        <v>05</v>
      </c>
      <c r="E639" s="4" t="s">
        <v>30</v>
      </c>
      <c r="F639" s="4" t="s">
        <v>31</v>
      </c>
      <c r="G639" s="8" t="str">
        <f t="shared" si="110"/>
        <v>25/05/2021</v>
      </c>
      <c r="H639" s="4" t="s">
        <v>1</v>
      </c>
      <c r="I639" s="4" t="s">
        <v>0</v>
      </c>
      <c r="J639" s="7" t="s">
        <v>1240</v>
      </c>
      <c r="K639" s="7" t="s">
        <v>759</v>
      </c>
      <c r="L639" s="9" t="str">
        <f>+VLOOKUP(K639,'[1]BASE DE PROVEEDORES'!$A:$B,2,0)</f>
        <v>MARIA ISABEL AVELAR</v>
      </c>
      <c r="M639" s="73" t="s">
        <v>2</v>
      </c>
      <c r="N639" s="7" t="s">
        <v>2</v>
      </c>
      <c r="O639" s="7" t="s">
        <v>2</v>
      </c>
      <c r="P639" s="10">
        <v>50</v>
      </c>
      <c r="Q639" s="29" t="s">
        <v>2</v>
      </c>
      <c r="R639" s="32" t="s">
        <v>2</v>
      </c>
      <c r="S639" s="32" t="s">
        <v>2</v>
      </c>
      <c r="T639" s="29">
        <f t="shared" si="111"/>
        <v>6.5</v>
      </c>
      <c r="U639" s="28">
        <f t="shared" si="112"/>
        <v>56.5</v>
      </c>
      <c r="V639" s="4" t="s">
        <v>3</v>
      </c>
    </row>
    <row r="640" spans="1:22" x14ac:dyDescent="0.25">
      <c r="A640" s="7" t="s">
        <v>1145</v>
      </c>
      <c r="B640" s="4" t="s">
        <v>901</v>
      </c>
      <c r="C640" s="5" t="str">
        <f t="shared" si="108"/>
        <v>25</v>
      </c>
      <c r="D640" s="5" t="str">
        <f t="shared" si="109"/>
        <v>06</v>
      </c>
      <c r="E640" s="4" t="s">
        <v>30</v>
      </c>
      <c r="F640" s="4" t="s">
        <v>31</v>
      </c>
      <c r="G640" s="8" t="str">
        <f t="shared" si="110"/>
        <v>25/06/2021</v>
      </c>
      <c r="H640" s="4" t="s">
        <v>1</v>
      </c>
      <c r="I640" s="4" t="s">
        <v>0</v>
      </c>
      <c r="J640" s="7" t="s">
        <v>1260</v>
      </c>
      <c r="K640" s="7" t="s">
        <v>1259</v>
      </c>
      <c r="L640" s="9" t="str">
        <f>+VLOOKUP(K640,'[1]BASE DE PROVEEDORES'!$A:$B,2,0)</f>
        <v>JOMIGA, S.A DE C.V.</v>
      </c>
      <c r="M640" s="73">
        <f>2.86+5.71</f>
        <v>8.57</v>
      </c>
      <c r="N640" s="7" t="s">
        <v>2</v>
      </c>
      <c r="O640" s="7" t="s">
        <v>2</v>
      </c>
      <c r="P640" s="10">
        <v>72.06</v>
      </c>
      <c r="Q640" s="29" t="s">
        <v>2</v>
      </c>
      <c r="R640" s="32" t="s">
        <v>2</v>
      </c>
      <c r="S640" s="32" t="s">
        <v>2</v>
      </c>
      <c r="T640" s="29">
        <f t="shared" si="111"/>
        <v>9.3678000000000008</v>
      </c>
      <c r="U640" s="28">
        <f t="shared" si="112"/>
        <v>89.997799999999998</v>
      </c>
      <c r="V640" s="4" t="s">
        <v>3</v>
      </c>
    </row>
    <row r="641" spans="1:22" x14ac:dyDescent="0.25">
      <c r="A641" s="7" t="s">
        <v>1145</v>
      </c>
      <c r="B641" s="4" t="s">
        <v>1186</v>
      </c>
      <c r="C641" s="5" t="str">
        <f t="shared" si="108"/>
        <v>25</v>
      </c>
      <c r="D641" s="5" t="str">
        <f t="shared" si="109"/>
        <v>07</v>
      </c>
      <c r="E641" s="4" t="s">
        <v>30</v>
      </c>
      <c r="F641" s="4" t="s">
        <v>31</v>
      </c>
      <c r="G641" s="8" t="str">
        <f t="shared" si="110"/>
        <v>25/07/2021</v>
      </c>
      <c r="H641" s="4" t="s">
        <v>1</v>
      </c>
      <c r="I641" s="4" t="s">
        <v>0</v>
      </c>
      <c r="J641" s="7" t="s">
        <v>1187</v>
      </c>
      <c r="K641" s="7" t="s">
        <v>45</v>
      </c>
      <c r="L641" s="9" t="str">
        <f>+VLOOKUP(K641,'[1]BASE DE PROVEEDORES'!$A:$B,2,0)</f>
        <v>JOSE RICARDO ANTONIO MOLINA</v>
      </c>
      <c r="M641" s="73">
        <f>6.98+3.49</f>
        <v>10.47</v>
      </c>
      <c r="N641" s="7" t="s">
        <v>2</v>
      </c>
      <c r="O641" s="7" t="s">
        <v>2</v>
      </c>
      <c r="P641" s="10">
        <v>89.85</v>
      </c>
      <c r="Q641" s="29" t="s">
        <v>2</v>
      </c>
      <c r="R641" s="32" t="s">
        <v>2</v>
      </c>
      <c r="S641" s="32" t="s">
        <v>2</v>
      </c>
      <c r="T641" s="29">
        <f t="shared" si="111"/>
        <v>11.6805</v>
      </c>
      <c r="U641" s="28">
        <f t="shared" si="112"/>
        <v>112.00049999999999</v>
      </c>
      <c r="V641" s="4" t="s">
        <v>3</v>
      </c>
    </row>
    <row r="642" spans="1:22" x14ac:dyDescent="0.25">
      <c r="A642" s="7" t="s">
        <v>1145</v>
      </c>
      <c r="B642" s="4" t="s">
        <v>1188</v>
      </c>
      <c r="C642" s="5" t="str">
        <f t="shared" si="108"/>
        <v>26</v>
      </c>
      <c r="D642" s="5" t="str">
        <f t="shared" si="109"/>
        <v>07</v>
      </c>
      <c r="E642" s="4" t="s">
        <v>30</v>
      </c>
      <c r="F642" s="4" t="s">
        <v>31</v>
      </c>
      <c r="G642" s="8" t="str">
        <f t="shared" si="110"/>
        <v>26/07/2021</v>
      </c>
      <c r="H642" s="4" t="s">
        <v>1</v>
      </c>
      <c r="I642" s="4" t="s">
        <v>0</v>
      </c>
      <c r="J642" s="7" t="s">
        <v>1189</v>
      </c>
      <c r="K642" s="7" t="s">
        <v>45</v>
      </c>
      <c r="L642" s="9" t="str">
        <f>+VLOOKUP(K642,'[1]BASE DE PROVEEDORES'!$A:$B,2,0)</f>
        <v>JOSE RICARDO ANTONIO MOLINA</v>
      </c>
      <c r="M642" s="73">
        <f>5.74+2.87</f>
        <v>8.61</v>
      </c>
      <c r="N642" s="7" t="s">
        <v>2</v>
      </c>
      <c r="O642" s="7" t="s">
        <v>2</v>
      </c>
      <c r="P642" s="10">
        <v>73.97</v>
      </c>
      <c r="Q642" s="29" t="s">
        <v>2</v>
      </c>
      <c r="R642" s="32" t="s">
        <v>2</v>
      </c>
      <c r="S642" s="32" t="s">
        <v>2</v>
      </c>
      <c r="T642" s="29">
        <f t="shared" si="111"/>
        <v>9.6160999999999994</v>
      </c>
      <c r="U642" s="28">
        <f t="shared" si="112"/>
        <v>92.196100000000001</v>
      </c>
      <c r="V642" s="4" t="s">
        <v>3</v>
      </c>
    </row>
    <row r="643" spans="1:22" x14ac:dyDescent="0.25">
      <c r="A643" s="7" t="s">
        <v>1145</v>
      </c>
      <c r="B643" s="4" t="s">
        <v>1188</v>
      </c>
      <c r="C643" s="5" t="str">
        <f t="shared" si="108"/>
        <v>26</v>
      </c>
      <c r="D643" s="5" t="str">
        <f t="shared" si="109"/>
        <v>07</v>
      </c>
      <c r="E643" s="4" t="s">
        <v>30</v>
      </c>
      <c r="F643" s="4" t="s">
        <v>31</v>
      </c>
      <c r="G643" s="8" t="str">
        <f t="shared" si="110"/>
        <v>26/07/2021</v>
      </c>
      <c r="H643" s="4" t="s">
        <v>1</v>
      </c>
      <c r="I643" s="4" t="s">
        <v>0</v>
      </c>
      <c r="J643" s="7" t="s">
        <v>1190</v>
      </c>
      <c r="K643" s="7" t="s">
        <v>45</v>
      </c>
      <c r="L643" s="9" t="str">
        <f>+VLOOKUP(K643,'[1]BASE DE PROVEEDORES'!$A:$B,2,0)</f>
        <v>JOSE RICARDO ANTONIO MOLINA</v>
      </c>
      <c r="M643" s="73">
        <v>1.41</v>
      </c>
      <c r="N643" s="7" t="s">
        <v>2</v>
      </c>
      <c r="O643" s="7" t="s">
        <v>2</v>
      </c>
      <c r="P643" s="10">
        <v>12.03</v>
      </c>
      <c r="Q643" s="29" t="s">
        <v>2</v>
      </c>
      <c r="R643" s="32" t="s">
        <v>2</v>
      </c>
      <c r="S643" s="32" t="s">
        <v>2</v>
      </c>
      <c r="T643" s="29">
        <f t="shared" si="111"/>
        <v>1.5639000000000001</v>
      </c>
      <c r="U643" s="28">
        <f t="shared" si="112"/>
        <v>15.0039</v>
      </c>
      <c r="V643" s="4" t="s">
        <v>3</v>
      </c>
    </row>
    <row r="644" spans="1:22" x14ac:dyDescent="0.25">
      <c r="A644" s="7" t="s">
        <v>1145</v>
      </c>
      <c r="B644" s="4" t="s">
        <v>1188</v>
      </c>
      <c r="C644" s="5" t="str">
        <f t="shared" si="108"/>
        <v>26</v>
      </c>
      <c r="D644" s="5" t="str">
        <f t="shared" si="109"/>
        <v>07</v>
      </c>
      <c r="E644" s="4" t="s">
        <v>30</v>
      </c>
      <c r="F644" s="4" t="s">
        <v>31</v>
      </c>
      <c r="G644" s="8" t="str">
        <f t="shared" si="110"/>
        <v>26/07/2021</v>
      </c>
      <c r="H644" s="4" t="s">
        <v>1</v>
      </c>
      <c r="I644" s="4" t="s">
        <v>0</v>
      </c>
      <c r="J644" s="7" t="s">
        <v>1330</v>
      </c>
      <c r="K644" s="7" t="s">
        <v>172</v>
      </c>
      <c r="L644" s="9" t="str">
        <f>+VLOOKUP(K644,'[1]BASE DE PROVEEDORES'!$A:$B,2,0)</f>
        <v>MANEJO INTEGRAL DE DESECHOS SOLIDOS SEM DE C.V.</v>
      </c>
      <c r="M644" s="73" t="s">
        <v>2</v>
      </c>
      <c r="N644" s="7" t="s">
        <v>2</v>
      </c>
      <c r="O644" s="7" t="s">
        <v>2</v>
      </c>
      <c r="P644" s="10">
        <v>56.26</v>
      </c>
      <c r="Q644" s="29" t="s">
        <v>2</v>
      </c>
      <c r="R644" s="32" t="s">
        <v>2</v>
      </c>
      <c r="S644" s="32" t="s">
        <v>2</v>
      </c>
      <c r="T644" s="29">
        <f t="shared" si="111"/>
        <v>7.3137999999999996</v>
      </c>
      <c r="U644" s="28">
        <f t="shared" si="112"/>
        <v>63.573799999999999</v>
      </c>
      <c r="V644" s="4" t="s">
        <v>3</v>
      </c>
    </row>
    <row r="645" spans="1:22" x14ac:dyDescent="0.25">
      <c r="A645" s="7" t="s">
        <v>1145</v>
      </c>
      <c r="B645" s="4" t="s">
        <v>1188</v>
      </c>
      <c r="C645" s="5" t="str">
        <f t="shared" si="108"/>
        <v>26</v>
      </c>
      <c r="D645" s="5" t="str">
        <f t="shared" si="109"/>
        <v>07</v>
      </c>
      <c r="E645" s="4" t="s">
        <v>30</v>
      </c>
      <c r="F645" s="4" t="s">
        <v>31</v>
      </c>
      <c r="G645" s="8" t="str">
        <f t="shared" si="110"/>
        <v>26/07/2021</v>
      </c>
      <c r="H645" s="4" t="s">
        <v>1</v>
      </c>
      <c r="I645" s="4" t="s">
        <v>0</v>
      </c>
      <c r="J645" s="7" t="s">
        <v>1336</v>
      </c>
      <c r="K645" s="7" t="s">
        <v>172</v>
      </c>
      <c r="L645" s="9" t="str">
        <f>+VLOOKUP(K645,'[1]BASE DE PROVEEDORES'!$A:$B,2,0)</f>
        <v>MANEJO INTEGRAL DE DESECHOS SOLIDOS SEM DE C.V.</v>
      </c>
      <c r="M645" s="73" t="s">
        <v>2</v>
      </c>
      <c r="N645" s="7" t="s">
        <v>2</v>
      </c>
      <c r="O645" s="7" t="s">
        <v>2</v>
      </c>
      <c r="P645" s="10">
        <v>56.26</v>
      </c>
      <c r="Q645" s="29" t="s">
        <v>2</v>
      </c>
      <c r="R645" s="32" t="s">
        <v>2</v>
      </c>
      <c r="S645" s="32" t="s">
        <v>2</v>
      </c>
      <c r="T645" s="29">
        <f t="shared" si="111"/>
        <v>7.3137999999999996</v>
      </c>
      <c r="U645" s="28">
        <f t="shared" si="112"/>
        <v>63.573799999999999</v>
      </c>
      <c r="V645" s="4" t="s">
        <v>3</v>
      </c>
    </row>
    <row r="646" spans="1:22" x14ac:dyDescent="0.25">
      <c r="A646" s="7" t="s">
        <v>1145</v>
      </c>
      <c r="B646" s="4" t="s">
        <v>714</v>
      </c>
      <c r="C646" s="5" t="str">
        <f t="shared" ref="C646:C677" si="113">+LEFT(B646,2)</f>
        <v>27</v>
      </c>
      <c r="D646" s="5" t="str">
        <f t="shared" ref="D646:D677" si="114">+RIGHT(B646,2)</f>
        <v>05</v>
      </c>
      <c r="E646" s="4" t="s">
        <v>30</v>
      </c>
      <c r="F646" s="4" t="s">
        <v>31</v>
      </c>
      <c r="G646" s="8" t="str">
        <f t="shared" ref="G646:G677" si="115">+C646&amp;F646&amp;D646&amp;F646&amp;E646</f>
        <v>27/05/2021</v>
      </c>
      <c r="H646" s="4" t="s">
        <v>1</v>
      </c>
      <c r="I646" s="4" t="s">
        <v>0</v>
      </c>
      <c r="J646" s="7" t="s">
        <v>1257</v>
      </c>
      <c r="K646" s="7" t="s">
        <v>770</v>
      </c>
      <c r="L646" s="9" t="str">
        <f>+VLOOKUP(K646,'[1]BASE DE PROVEEDORES'!$A:$B,2,0)</f>
        <v>RAFAEL RENE CANALES PINAUD</v>
      </c>
      <c r="M646" s="73">
        <f>4.29+2.15</f>
        <v>6.4399999999999995</v>
      </c>
      <c r="N646" s="7" t="s">
        <v>2</v>
      </c>
      <c r="O646" s="7" t="s">
        <v>2</v>
      </c>
      <c r="P646" s="10">
        <v>51.83</v>
      </c>
      <c r="Q646" s="29" t="s">
        <v>2</v>
      </c>
      <c r="R646" s="32" t="s">
        <v>2</v>
      </c>
      <c r="S646" s="32" t="s">
        <v>2</v>
      </c>
      <c r="T646" s="29">
        <f t="shared" ref="T646:T677" si="116">+P646*0.13</f>
        <v>6.7378999999999998</v>
      </c>
      <c r="U646" s="28">
        <f t="shared" ref="U646:U677" si="117">+M646+P646+T646</f>
        <v>65.007899999999992</v>
      </c>
      <c r="V646" s="4" t="s">
        <v>3</v>
      </c>
    </row>
    <row r="647" spans="1:22" x14ac:dyDescent="0.25">
      <c r="A647" s="7" t="s">
        <v>1145</v>
      </c>
      <c r="B647" s="4" t="s">
        <v>1191</v>
      </c>
      <c r="C647" s="5" t="str">
        <f t="shared" si="113"/>
        <v>27</v>
      </c>
      <c r="D647" s="5" t="str">
        <f t="shared" si="114"/>
        <v>07</v>
      </c>
      <c r="E647" s="4" t="s">
        <v>30</v>
      </c>
      <c r="F647" s="4" t="s">
        <v>31</v>
      </c>
      <c r="G647" s="8" t="str">
        <f t="shared" si="115"/>
        <v>27/07/2021</v>
      </c>
      <c r="H647" s="4" t="s">
        <v>1</v>
      </c>
      <c r="I647" s="4" t="s">
        <v>0</v>
      </c>
      <c r="J647" s="7" t="s">
        <v>1192</v>
      </c>
      <c r="K647" s="7" t="s">
        <v>45</v>
      </c>
      <c r="L647" s="9" t="str">
        <f>+VLOOKUP(K647,'[1]BASE DE PROVEEDORES'!$A:$B,2,0)</f>
        <v>JOSE RICARDO ANTONIO MOLINA</v>
      </c>
      <c r="M647" s="73">
        <v>9.8800000000000008</v>
      </c>
      <c r="N647" s="7" t="s">
        <v>2</v>
      </c>
      <c r="O647" s="7" t="s">
        <v>2</v>
      </c>
      <c r="P647" s="10">
        <v>84.18</v>
      </c>
      <c r="Q647" s="29" t="s">
        <v>2</v>
      </c>
      <c r="R647" s="32" t="s">
        <v>2</v>
      </c>
      <c r="S647" s="32" t="s">
        <v>2</v>
      </c>
      <c r="T647" s="29">
        <f t="shared" si="116"/>
        <v>10.9434</v>
      </c>
      <c r="U647" s="28">
        <f t="shared" si="117"/>
        <v>105.0034</v>
      </c>
      <c r="V647" s="4" t="s">
        <v>3</v>
      </c>
    </row>
    <row r="648" spans="1:22" x14ac:dyDescent="0.25">
      <c r="A648" s="7" t="s">
        <v>1145</v>
      </c>
      <c r="B648" s="4" t="s">
        <v>1191</v>
      </c>
      <c r="C648" s="5" t="str">
        <f t="shared" si="113"/>
        <v>27</v>
      </c>
      <c r="D648" s="5" t="str">
        <f t="shared" si="114"/>
        <v>07</v>
      </c>
      <c r="E648" s="4" t="s">
        <v>30</v>
      </c>
      <c r="F648" s="4" t="s">
        <v>31</v>
      </c>
      <c r="G648" s="8" t="str">
        <f t="shared" si="115"/>
        <v>27/07/2021</v>
      </c>
      <c r="H648" s="4" t="s">
        <v>1</v>
      </c>
      <c r="I648" s="4" t="s">
        <v>0</v>
      </c>
      <c r="J648" s="7" t="s">
        <v>1203</v>
      </c>
      <c r="K648" s="7" t="s">
        <v>28</v>
      </c>
      <c r="L648" s="9" t="str">
        <f>+VLOOKUP(K648,'[1]BASE DE PROVEEDORES'!$A:$B,2,0)</f>
        <v xml:space="preserve">ACTIVIDADES PETROLERAS DE EL SALVADOR S.A DE C.V </v>
      </c>
      <c r="M648" s="73">
        <v>12.41</v>
      </c>
      <c r="N648" s="7" t="s">
        <v>2</v>
      </c>
      <c r="O648" s="7" t="s">
        <v>2</v>
      </c>
      <c r="P648" s="10">
        <v>80.17</v>
      </c>
      <c r="Q648" s="29" t="s">
        <v>2</v>
      </c>
      <c r="R648" s="32" t="s">
        <v>2</v>
      </c>
      <c r="S648" s="32" t="s">
        <v>2</v>
      </c>
      <c r="T648" s="29">
        <f t="shared" si="116"/>
        <v>10.4221</v>
      </c>
      <c r="U648" s="28">
        <f t="shared" si="117"/>
        <v>103.0021</v>
      </c>
      <c r="V648" s="4" t="s">
        <v>3</v>
      </c>
    </row>
    <row r="649" spans="1:22" x14ac:dyDescent="0.25">
      <c r="A649" s="7" t="s">
        <v>1145</v>
      </c>
      <c r="B649" s="4" t="s">
        <v>1191</v>
      </c>
      <c r="C649" s="5" t="str">
        <f t="shared" si="113"/>
        <v>27</v>
      </c>
      <c r="D649" s="5" t="str">
        <f t="shared" si="114"/>
        <v>07</v>
      </c>
      <c r="E649" s="4" t="s">
        <v>30</v>
      </c>
      <c r="F649" s="4" t="s">
        <v>31</v>
      </c>
      <c r="G649" s="8" t="str">
        <f t="shared" si="115"/>
        <v>27/07/2021</v>
      </c>
      <c r="H649" s="4" t="s">
        <v>1</v>
      </c>
      <c r="I649" s="4" t="s">
        <v>0</v>
      </c>
      <c r="J649" s="7" t="s">
        <v>1204</v>
      </c>
      <c r="K649" s="7" t="s">
        <v>28</v>
      </c>
      <c r="L649" s="9" t="str">
        <f>+VLOOKUP(K649,'[1]BASE DE PROVEEDORES'!$A:$B,2,0)</f>
        <v xml:space="preserve">ACTIVIDADES PETROLERAS DE EL SALVADOR S.A DE C.V </v>
      </c>
      <c r="M649" s="73">
        <f>1.88+0.94</f>
        <v>2.82</v>
      </c>
      <c r="N649" s="7" t="s">
        <v>2</v>
      </c>
      <c r="O649" s="7" t="s">
        <v>2</v>
      </c>
      <c r="P649" s="10">
        <v>24.05</v>
      </c>
      <c r="Q649" s="29" t="s">
        <v>2</v>
      </c>
      <c r="R649" s="32" t="s">
        <v>2</v>
      </c>
      <c r="S649" s="32" t="s">
        <v>2</v>
      </c>
      <c r="T649" s="29">
        <f t="shared" si="116"/>
        <v>3.1265000000000001</v>
      </c>
      <c r="U649" s="28">
        <f t="shared" si="117"/>
        <v>29.996500000000001</v>
      </c>
      <c r="V649" s="4" t="s">
        <v>3</v>
      </c>
    </row>
    <row r="650" spans="1:22" x14ac:dyDescent="0.25">
      <c r="A650" s="7" t="s">
        <v>1145</v>
      </c>
      <c r="B650" s="4" t="s">
        <v>1191</v>
      </c>
      <c r="C650" s="5" t="str">
        <f t="shared" si="113"/>
        <v>27</v>
      </c>
      <c r="D650" s="5" t="str">
        <f t="shared" si="114"/>
        <v>07</v>
      </c>
      <c r="E650" s="4" t="s">
        <v>30</v>
      </c>
      <c r="F650" s="4" t="s">
        <v>31</v>
      </c>
      <c r="G650" s="8" t="str">
        <f t="shared" si="115"/>
        <v>27/07/2021</v>
      </c>
      <c r="H650" s="4" t="s">
        <v>1</v>
      </c>
      <c r="I650" s="4" t="s">
        <v>0</v>
      </c>
      <c r="J650" s="7" t="s">
        <v>1311</v>
      </c>
      <c r="K650" s="7" t="s">
        <v>172</v>
      </c>
      <c r="L650" s="9" t="str">
        <f>+VLOOKUP(K650,'[1]BASE DE PROVEEDORES'!$A:$B,2,0)</f>
        <v>MANEJO INTEGRAL DE DESECHOS SOLIDOS SEM DE C.V.</v>
      </c>
      <c r="M650" s="73" t="s">
        <v>2</v>
      </c>
      <c r="N650" s="7" t="s">
        <v>2</v>
      </c>
      <c r="O650" s="7" t="s">
        <v>2</v>
      </c>
      <c r="P650" s="10">
        <v>44.92</v>
      </c>
      <c r="Q650" s="29" t="s">
        <v>2</v>
      </c>
      <c r="R650" s="32" t="s">
        <v>2</v>
      </c>
      <c r="S650" s="32" t="s">
        <v>2</v>
      </c>
      <c r="T650" s="29">
        <f t="shared" si="116"/>
        <v>5.8396000000000008</v>
      </c>
      <c r="U650" s="28">
        <f t="shared" si="117"/>
        <v>50.759600000000006</v>
      </c>
      <c r="V650" s="4" t="s">
        <v>3</v>
      </c>
    </row>
    <row r="651" spans="1:22" x14ac:dyDescent="0.25">
      <c r="A651" s="7" t="s">
        <v>1145</v>
      </c>
      <c r="B651" s="4" t="s">
        <v>1191</v>
      </c>
      <c r="C651" s="5" t="str">
        <f t="shared" si="113"/>
        <v>27</v>
      </c>
      <c r="D651" s="5" t="str">
        <f t="shared" si="114"/>
        <v>07</v>
      </c>
      <c r="E651" s="4" t="s">
        <v>30</v>
      </c>
      <c r="F651" s="4" t="s">
        <v>31</v>
      </c>
      <c r="G651" s="8" t="str">
        <f t="shared" si="115"/>
        <v>27/07/2021</v>
      </c>
      <c r="H651" s="4" t="s">
        <v>1</v>
      </c>
      <c r="I651" s="4" t="s">
        <v>0</v>
      </c>
      <c r="J651" s="7" t="s">
        <v>1338</v>
      </c>
      <c r="K651" s="7" t="s">
        <v>172</v>
      </c>
      <c r="L651" s="9" t="str">
        <f>+VLOOKUP(K651,'[1]BASE DE PROVEEDORES'!$A:$B,2,0)</f>
        <v>MANEJO INTEGRAL DE DESECHOS SOLIDOS SEM DE C.V.</v>
      </c>
      <c r="M651" s="73" t="s">
        <v>2</v>
      </c>
      <c r="N651" s="7" t="s">
        <v>2</v>
      </c>
      <c r="O651" s="7" t="s">
        <v>2</v>
      </c>
      <c r="P651" s="10">
        <v>56.26</v>
      </c>
      <c r="Q651" s="29" t="s">
        <v>2</v>
      </c>
      <c r="R651" s="32" t="s">
        <v>2</v>
      </c>
      <c r="S651" s="32" t="s">
        <v>2</v>
      </c>
      <c r="T651" s="29">
        <f t="shared" si="116"/>
        <v>7.3137999999999996</v>
      </c>
      <c r="U651" s="28">
        <f t="shared" si="117"/>
        <v>63.573799999999999</v>
      </c>
      <c r="V651" s="4" t="s">
        <v>3</v>
      </c>
    </row>
    <row r="652" spans="1:22" x14ac:dyDescent="0.25">
      <c r="A652" s="7" t="s">
        <v>1145</v>
      </c>
      <c r="B652" s="4" t="s">
        <v>716</v>
      </c>
      <c r="C652" s="5" t="str">
        <f t="shared" si="113"/>
        <v>28</v>
      </c>
      <c r="D652" s="5" t="str">
        <f t="shared" si="114"/>
        <v>05</v>
      </c>
      <c r="E652" s="4" t="s">
        <v>30</v>
      </c>
      <c r="F652" s="4" t="s">
        <v>31</v>
      </c>
      <c r="G652" s="8" t="str">
        <f t="shared" si="115"/>
        <v>28/05/2021</v>
      </c>
      <c r="H652" s="4" t="s">
        <v>1</v>
      </c>
      <c r="I652" s="4" t="s">
        <v>0</v>
      </c>
      <c r="J652" s="7" t="s">
        <v>1256</v>
      </c>
      <c r="K652" s="7" t="s">
        <v>770</v>
      </c>
      <c r="L652" s="9" t="str">
        <f>+VLOOKUP(K652,'[1]BASE DE PROVEEDORES'!$A:$B,2,0)</f>
        <v>RAFAEL RENE CANALES PINAUD</v>
      </c>
      <c r="M652" s="73">
        <f>9.97+4.98</f>
        <v>14.950000000000001</v>
      </c>
      <c r="N652" s="7" t="s">
        <v>2</v>
      </c>
      <c r="O652" s="7" t="s">
        <v>2</v>
      </c>
      <c r="P652" s="10">
        <v>120.38</v>
      </c>
      <c r="Q652" s="29" t="s">
        <v>2</v>
      </c>
      <c r="R652" s="32" t="s">
        <v>2</v>
      </c>
      <c r="S652" s="32" t="s">
        <v>2</v>
      </c>
      <c r="T652" s="29">
        <f t="shared" si="116"/>
        <v>15.6494</v>
      </c>
      <c r="U652" s="28">
        <f t="shared" si="117"/>
        <v>150.9794</v>
      </c>
      <c r="V652" s="4" t="s">
        <v>3</v>
      </c>
    </row>
    <row r="653" spans="1:22" x14ac:dyDescent="0.25">
      <c r="A653" s="7" t="s">
        <v>1145</v>
      </c>
      <c r="B653" s="4" t="s">
        <v>66</v>
      </c>
      <c r="C653" s="5" t="str">
        <f t="shared" si="113"/>
        <v>28</v>
      </c>
      <c r="D653" s="5" t="str">
        <f t="shared" si="114"/>
        <v>06</v>
      </c>
      <c r="E653" s="4" t="s">
        <v>30</v>
      </c>
      <c r="F653" s="4" t="s">
        <v>31</v>
      </c>
      <c r="G653" s="8" t="str">
        <f t="shared" si="115"/>
        <v>28/06/2021</v>
      </c>
      <c r="H653" s="4" t="s">
        <v>1</v>
      </c>
      <c r="I653" s="4" t="s">
        <v>0</v>
      </c>
      <c r="J653" s="7" t="s">
        <v>1299</v>
      </c>
      <c r="K653" s="7" t="s">
        <v>233</v>
      </c>
      <c r="L653" s="9" t="str">
        <f>+VLOOKUP(K653,'[1]BASE DE PROVEEDORES'!$A:$B,2,0)</f>
        <v xml:space="preserve">SUPER REPUESTOS EL SALVADOR </v>
      </c>
      <c r="M653" s="73" t="s">
        <v>2</v>
      </c>
      <c r="N653" s="7" t="s">
        <v>2</v>
      </c>
      <c r="O653" s="7" t="s">
        <v>2</v>
      </c>
      <c r="P653" s="10">
        <v>21.8</v>
      </c>
      <c r="Q653" s="29" t="s">
        <v>2</v>
      </c>
      <c r="R653" s="32" t="s">
        <v>2</v>
      </c>
      <c r="S653" s="32" t="s">
        <v>2</v>
      </c>
      <c r="T653" s="29">
        <f t="shared" si="116"/>
        <v>2.8340000000000001</v>
      </c>
      <c r="U653" s="28">
        <f t="shared" si="117"/>
        <v>24.634</v>
      </c>
      <c r="V653" s="4" t="s">
        <v>3</v>
      </c>
    </row>
    <row r="654" spans="1:22" x14ac:dyDescent="0.25">
      <c r="A654" s="7" t="s">
        <v>1145</v>
      </c>
      <c r="B654" s="4" t="s">
        <v>1324</v>
      </c>
      <c r="C654" s="5" t="str">
        <f t="shared" si="113"/>
        <v>28</v>
      </c>
      <c r="D654" s="5" t="str">
        <f t="shared" si="114"/>
        <v>07</v>
      </c>
      <c r="E654" s="4" t="s">
        <v>30</v>
      </c>
      <c r="F654" s="4" t="s">
        <v>31</v>
      </c>
      <c r="G654" s="8" t="str">
        <f t="shared" si="115"/>
        <v>28/07/2021</v>
      </c>
      <c r="H654" s="4" t="s">
        <v>1</v>
      </c>
      <c r="I654" s="4" t="s">
        <v>0</v>
      </c>
      <c r="J654" s="7" t="s">
        <v>1325</v>
      </c>
      <c r="K654" s="7" t="s">
        <v>172</v>
      </c>
      <c r="L654" s="9" t="str">
        <f>+VLOOKUP(K654,'[1]BASE DE PROVEEDORES'!$A:$B,2,0)</f>
        <v>MANEJO INTEGRAL DE DESECHOS SOLIDOS SEM DE C.V.</v>
      </c>
      <c r="M654" s="73" t="s">
        <v>2</v>
      </c>
      <c r="N654" s="7" t="s">
        <v>2</v>
      </c>
      <c r="O654" s="7" t="s">
        <v>2</v>
      </c>
      <c r="P654" s="10">
        <v>68.510000000000005</v>
      </c>
      <c r="Q654" s="29" t="s">
        <v>2</v>
      </c>
      <c r="R654" s="32" t="s">
        <v>2</v>
      </c>
      <c r="S654" s="32" t="s">
        <v>2</v>
      </c>
      <c r="T654" s="29">
        <f t="shared" si="116"/>
        <v>8.9063000000000017</v>
      </c>
      <c r="U654" s="28">
        <f t="shared" si="117"/>
        <v>77.416300000000007</v>
      </c>
      <c r="V654" s="4" t="s">
        <v>3</v>
      </c>
    </row>
    <row r="655" spans="1:22" x14ac:dyDescent="0.25">
      <c r="A655" s="7" t="s">
        <v>1145</v>
      </c>
      <c r="B655" s="4" t="s">
        <v>892</v>
      </c>
      <c r="C655" s="5" t="str">
        <f t="shared" si="113"/>
        <v>29</v>
      </c>
      <c r="D655" s="5" t="str">
        <f t="shared" si="114"/>
        <v>06</v>
      </c>
      <c r="E655" s="4" t="s">
        <v>30</v>
      </c>
      <c r="F655" s="4" t="s">
        <v>31</v>
      </c>
      <c r="G655" s="8" t="str">
        <f t="shared" si="115"/>
        <v>29/06/2021</v>
      </c>
      <c r="H655" s="4" t="s">
        <v>1</v>
      </c>
      <c r="I655" s="4" t="s">
        <v>0</v>
      </c>
      <c r="J655" s="7" t="s">
        <v>1258</v>
      </c>
      <c r="K655" s="7" t="s">
        <v>1259</v>
      </c>
      <c r="L655" s="9" t="str">
        <f>+VLOOKUP(K655,'[1]BASE DE PROVEEDORES'!$A:$B,2,0)</f>
        <v>JOMIGA, S.A DE C.V.</v>
      </c>
      <c r="M655" s="73">
        <f>4.44+8.89</f>
        <v>13.330000000000002</v>
      </c>
      <c r="N655" s="7" t="s">
        <v>2</v>
      </c>
      <c r="O655" s="7" t="s">
        <v>2</v>
      </c>
      <c r="P655" s="10">
        <v>112.1</v>
      </c>
      <c r="Q655" s="29" t="s">
        <v>2</v>
      </c>
      <c r="R655" s="32" t="s">
        <v>2</v>
      </c>
      <c r="S655" s="32" t="s">
        <v>2</v>
      </c>
      <c r="T655" s="29">
        <f t="shared" si="116"/>
        <v>14.573</v>
      </c>
      <c r="U655" s="28">
        <f t="shared" si="117"/>
        <v>140.00299999999999</v>
      </c>
      <c r="V655" s="4" t="s">
        <v>3</v>
      </c>
    </row>
    <row r="656" spans="1:22" x14ac:dyDescent="0.25">
      <c r="A656" s="7" t="s">
        <v>1145</v>
      </c>
      <c r="B656" s="4" t="s">
        <v>892</v>
      </c>
      <c r="C656" s="5" t="str">
        <f t="shared" si="113"/>
        <v>29</v>
      </c>
      <c r="D656" s="5" t="str">
        <f t="shared" si="114"/>
        <v>06</v>
      </c>
      <c r="E656" s="4" t="s">
        <v>30</v>
      </c>
      <c r="F656" s="4" t="s">
        <v>31</v>
      </c>
      <c r="G656" s="8" t="str">
        <f t="shared" si="115"/>
        <v>29/06/2021</v>
      </c>
      <c r="H656" s="4" t="s">
        <v>1</v>
      </c>
      <c r="I656" s="4" t="s">
        <v>0</v>
      </c>
      <c r="J656" s="7" t="s">
        <v>1287</v>
      </c>
      <c r="K656" s="7" t="s">
        <v>126</v>
      </c>
      <c r="L656" s="9" t="str">
        <f>+VLOOKUP(K656,'[1]BASE DE PROVEEDORES'!$A:$B,2,0)</f>
        <v>REPUESTOS IZALCO S.A DE C.V.</v>
      </c>
      <c r="M656" s="73" t="s">
        <v>2</v>
      </c>
      <c r="N656" s="7" t="s">
        <v>2</v>
      </c>
      <c r="O656" s="7" t="s">
        <v>2</v>
      </c>
      <c r="P656" s="10">
        <v>20.02</v>
      </c>
      <c r="Q656" s="29" t="s">
        <v>2</v>
      </c>
      <c r="R656" s="32" t="s">
        <v>2</v>
      </c>
      <c r="S656" s="32" t="s">
        <v>2</v>
      </c>
      <c r="T656" s="29">
        <f t="shared" si="116"/>
        <v>2.6026000000000002</v>
      </c>
      <c r="U656" s="28">
        <f t="shared" si="117"/>
        <v>22.622599999999998</v>
      </c>
      <c r="V656" s="4" t="s">
        <v>3</v>
      </c>
    </row>
    <row r="657" spans="1:22" x14ac:dyDescent="0.25">
      <c r="A657" s="7" t="s">
        <v>1145</v>
      </c>
      <c r="B657" s="4" t="s">
        <v>892</v>
      </c>
      <c r="C657" s="5" t="str">
        <f t="shared" si="113"/>
        <v>29</v>
      </c>
      <c r="D657" s="5" t="str">
        <f t="shared" si="114"/>
        <v>06</v>
      </c>
      <c r="E657" s="4" t="s">
        <v>30</v>
      </c>
      <c r="F657" s="4" t="s">
        <v>31</v>
      </c>
      <c r="G657" s="8" t="str">
        <f t="shared" si="115"/>
        <v>29/06/2021</v>
      </c>
      <c r="H657" s="4" t="s">
        <v>1</v>
      </c>
      <c r="I657" s="4" t="s">
        <v>0</v>
      </c>
      <c r="J657" s="7" t="s">
        <v>1295</v>
      </c>
      <c r="K657" s="7" t="s">
        <v>24</v>
      </c>
      <c r="L657" s="9" t="str">
        <f>+VLOOKUP(K657,'[1]BASE DE PROVEEDORES'!$A:$B,2,0)</f>
        <v>ECSA OPERADORA EL SALVADOR S.A DE C.V.</v>
      </c>
      <c r="M657" s="73">
        <v>2.94</v>
      </c>
      <c r="N657" s="7" t="s">
        <v>2</v>
      </c>
      <c r="O657" s="7" t="s">
        <v>2</v>
      </c>
      <c r="P657" s="10">
        <v>30.23</v>
      </c>
      <c r="Q657" s="29" t="s">
        <v>2</v>
      </c>
      <c r="R657" s="32" t="s">
        <v>2</v>
      </c>
      <c r="S657" s="32" t="s">
        <v>2</v>
      </c>
      <c r="T657" s="29">
        <f t="shared" si="116"/>
        <v>3.9299000000000004</v>
      </c>
      <c r="U657" s="28">
        <f t="shared" si="117"/>
        <v>37.099900000000005</v>
      </c>
      <c r="V657" s="4" t="s">
        <v>3</v>
      </c>
    </row>
    <row r="658" spans="1:22" x14ac:dyDescent="0.25">
      <c r="A658" s="7" t="s">
        <v>1145</v>
      </c>
      <c r="B658" s="4" t="s">
        <v>1193</v>
      </c>
      <c r="C658" s="5" t="str">
        <f t="shared" si="113"/>
        <v>29</v>
      </c>
      <c r="D658" s="5" t="str">
        <f t="shared" si="114"/>
        <v>07</v>
      </c>
      <c r="E658" s="4" t="s">
        <v>30</v>
      </c>
      <c r="F658" s="4" t="s">
        <v>31</v>
      </c>
      <c r="G658" s="8" t="str">
        <f t="shared" si="115"/>
        <v>29/07/2021</v>
      </c>
      <c r="H658" s="4" t="s">
        <v>1</v>
      </c>
      <c r="I658" s="4" t="s">
        <v>0</v>
      </c>
      <c r="J658" s="7" t="s">
        <v>1194</v>
      </c>
      <c r="K658" s="7" t="s">
        <v>45</v>
      </c>
      <c r="L658" s="9" t="str">
        <f>+VLOOKUP(K658,'[1]BASE DE PROVEEDORES'!$A:$B,2,0)</f>
        <v>JOSE RICARDO ANTONIO MOLINA</v>
      </c>
      <c r="M658" s="73">
        <f>2.32+1.16</f>
        <v>3.4799999999999995</v>
      </c>
      <c r="N658" s="7" t="s">
        <v>2</v>
      </c>
      <c r="O658" s="7" t="s">
        <v>2</v>
      </c>
      <c r="P658" s="10">
        <v>29.66</v>
      </c>
      <c r="Q658" s="29" t="s">
        <v>2</v>
      </c>
      <c r="R658" s="32" t="s">
        <v>2</v>
      </c>
      <c r="S658" s="32" t="s">
        <v>2</v>
      </c>
      <c r="T658" s="29">
        <f t="shared" si="116"/>
        <v>3.8558000000000003</v>
      </c>
      <c r="U658" s="28">
        <f t="shared" si="117"/>
        <v>36.995800000000003</v>
      </c>
      <c r="V658" s="4" t="s">
        <v>3</v>
      </c>
    </row>
    <row r="659" spans="1:22" x14ac:dyDescent="0.25">
      <c r="A659" s="7" t="s">
        <v>1145</v>
      </c>
      <c r="B659" s="4" t="s">
        <v>1193</v>
      </c>
      <c r="C659" s="5" t="str">
        <f t="shared" si="113"/>
        <v>29</v>
      </c>
      <c r="D659" s="5" t="str">
        <f t="shared" si="114"/>
        <v>07</v>
      </c>
      <c r="E659" s="4" t="s">
        <v>30</v>
      </c>
      <c r="F659" s="4" t="s">
        <v>31</v>
      </c>
      <c r="G659" s="8" t="str">
        <f t="shared" si="115"/>
        <v>29/07/2021</v>
      </c>
      <c r="H659" s="4" t="s">
        <v>1</v>
      </c>
      <c r="I659" s="4" t="s">
        <v>0</v>
      </c>
      <c r="J659" s="7" t="s">
        <v>1195</v>
      </c>
      <c r="K659" s="7" t="s">
        <v>45</v>
      </c>
      <c r="L659" s="9" t="str">
        <f>+VLOOKUP(K659,'[1]BASE DE PROVEEDORES'!$A:$B,2,0)</f>
        <v>JOSE RICARDO ANTONIO MOLINA</v>
      </c>
      <c r="M659" s="73">
        <f>5.98+2.99</f>
        <v>8.9700000000000006</v>
      </c>
      <c r="N659" s="7" t="s">
        <v>2</v>
      </c>
      <c r="O659" s="7" t="s">
        <v>2</v>
      </c>
      <c r="P659" s="10">
        <v>76.430000000000007</v>
      </c>
      <c r="Q659" s="29" t="s">
        <v>2</v>
      </c>
      <c r="R659" s="32" t="s">
        <v>2</v>
      </c>
      <c r="S659" s="32" t="s">
        <v>2</v>
      </c>
      <c r="T659" s="29">
        <f t="shared" si="116"/>
        <v>9.935900000000002</v>
      </c>
      <c r="U659" s="28">
        <f t="shared" si="117"/>
        <v>95.335900000000009</v>
      </c>
      <c r="V659" s="4" t="s">
        <v>3</v>
      </c>
    </row>
    <row r="660" spans="1:22" x14ac:dyDescent="0.25">
      <c r="A660" s="7" t="s">
        <v>1145</v>
      </c>
      <c r="B660" s="4" t="s">
        <v>1193</v>
      </c>
      <c r="C660" s="5" t="str">
        <f t="shared" si="113"/>
        <v>29</v>
      </c>
      <c r="D660" s="5" t="str">
        <f t="shared" si="114"/>
        <v>07</v>
      </c>
      <c r="E660" s="4" t="s">
        <v>30</v>
      </c>
      <c r="F660" s="4" t="s">
        <v>31</v>
      </c>
      <c r="G660" s="8" t="str">
        <f t="shared" si="115"/>
        <v>29/07/2021</v>
      </c>
      <c r="H660" s="4" t="s">
        <v>1</v>
      </c>
      <c r="I660" s="4" t="s">
        <v>0</v>
      </c>
      <c r="J660" s="7" t="s">
        <v>1202</v>
      </c>
      <c r="K660" s="7" t="s">
        <v>28</v>
      </c>
      <c r="L660" s="9" t="str">
        <f>+VLOOKUP(K660,'[1]BASE DE PROVEEDORES'!$A:$B,2,0)</f>
        <v xml:space="preserve">ACTIVIDADES PETROLERAS DE EL SALVADOR S.A DE C.V </v>
      </c>
      <c r="M660" s="73">
        <v>3.3</v>
      </c>
      <c r="N660" s="7" t="s">
        <v>2</v>
      </c>
      <c r="O660" s="7" t="s">
        <v>2</v>
      </c>
      <c r="P660" s="10">
        <v>28.06</v>
      </c>
      <c r="Q660" s="29" t="s">
        <v>2</v>
      </c>
      <c r="R660" s="32" t="s">
        <v>2</v>
      </c>
      <c r="S660" s="32" t="s">
        <v>2</v>
      </c>
      <c r="T660" s="29">
        <f t="shared" si="116"/>
        <v>3.6478000000000002</v>
      </c>
      <c r="U660" s="28">
        <f t="shared" si="117"/>
        <v>35.007800000000003</v>
      </c>
      <c r="V660" s="4" t="s">
        <v>3</v>
      </c>
    </row>
    <row r="661" spans="1:22" x14ac:dyDescent="0.25">
      <c r="A661" s="7" t="s">
        <v>1145</v>
      </c>
      <c r="B661" s="4" t="s">
        <v>1193</v>
      </c>
      <c r="C661" s="5" t="str">
        <f t="shared" si="113"/>
        <v>29</v>
      </c>
      <c r="D661" s="5" t="str">
        <f t="shared" si="114"/>
        <v>07</v>
      </c>
      <c r="E661" s="4" t="s">
        <v>30</v>
      </c>
      <c r="F661" s="4" t="s">
        <v>31</v>
      </c>
      <c r="G661" s="8" t="str">
        <f t="shared" si="115"/>
        <v>29/07/2021</v>
      </c>
      <c r="H661" s="4" t="s">
        <v>1</v>
      </c>
      <c r="I661" s="4" t="s">
        <v>0</v>
      </c>
      <c r="J661" s="7" t="s">
        <v>1243</v>
      </c>
      <c r="K661" s="7" t="s">
        <v>963</v>
      </c>
      <c r="L661" s="9" t="str">
        <f>+VLOOKUP(K661,'[1]BASE DE PROVEEDORES'!$A:$B,2,0)</f>
        <v>CENTRO DE DIAGNOSTICO Y EMISIONES DE EL SALVADOR</v>
      </c>
      <c r="M661" s="73" t="s">
        <v>2</v>
      </c>
      <c r="N661" s="7" t="s">
        <v>2</v>
      </c>
      <c r="O661" s="7" t="s">
        <v>2</v>
      </c>
      <c r="P661" s="10">
        <v>15</v>
      </c>
      <c r="Q661" s="29" t="s">
        <v>2</v>
      </c>
      <c r="R661" s="32" t="s">
        <v>2</v>
      </c>
      <c r="S661" s="32" t="s">
        <v>2</v>
      </c>
      <c r="T661" s="29">
        <f t="shared" si="116"/>
        <v>1.9500000000000002</v>
      </c>
      <c r="U661" s="28">
        <f t="shared" si="117"/>
        <v>16.95</v>
      </c>
      <c r="V661" s="4" t="s">
        <v>3</v>
      </c>
    </row>
    <row r="662" spans="1:22" x14ac:dyDescent="0.25">
      <c r="A662" s="7" t="s">
        <v>1145</v>
      </c>
      <c r="B662" s="4" t="s">
        <v>1193</v>
      </c>
      <c r="C662" s="5" t="str">
        <f t="shared" si="113"/>
        <v>29</v>
      </c>
      <c r="D662" s="5" t="str">
        <f t="shared" si="114"/>
        <v>07</v>
      </c>
      <c r="E662" s="4" t="s">
        <v>30</v>
      </c>
      <c r="F662" s="4" t="s">
        <v>31</v>
      </c>
      <c r="G662" s="8" t="str">
        <f t="shared" si="115"/>
        <v>29/07/2021</v>
      </c>
      <c r="H662" s="4" t="s">
        <v>1</v>
      </c>
      <c r="I662" s="4" t="s">
        <v>0</v>
      </c>
      <c r="J662" s="7" t="s">
        <v>1290</v>
      </c>
      <c r="K662" s="7" t="s">
        <v>21</v>
      </c>
      <c r="L662" s="9" t="str">
        <f>+VLOOKUP(K662,'[1]BASE DE PROVEEDORES'!$A:$B,2,0)</f>
        <v>FREUND S.A DE C.V.</v>
      </c>
      <c r="M662" s="73" t="s">
        <v>2</v>
      </c>
      <c r="N662" s="7" t="s">
        <v>2</v>
      </c>
      <c r="O662" s="7" t="s">
        <v>2</v>
      </c>
      <c r="P662" s="10">
        <v>136.19</v>
      </c>
      <c r="Q662" s="29" t="s">
        <v>2</v>
      </c>
      <c r="R662" s="32" t="s">
        <v>2</v>
      </c>
      <c r="S662" s="32" t="s">
        <v>2</v>
      </c>
      <c r="T662" s="29">
        <f t="shared" si="116"/>
        <v>17.704699999999999</v>
      </c>
      <c r="U662" s="28">
        <f t="shared" si="117"/>
        <v>153.8947</v>
      </c>
      <c r="V662" s="4" t="s">
        <v>3</v>
      </c>
    </row>
    <row r="663" spans="1:22" x14ac:dyDescent="0.25">
      <c r="A663" s="7" t="s">
        <v>1145</v>
      </c>
      <c r="B663" s="4" t="s">
        <v>895</v>
      </c>
      <c r="C663" s="5" t="str">
        <f t="shared" si="113"/>
        <v>30</v>
      </c>
      <c r="D663" s="5" t="str">
        <f t="shared" si="114"/>
        <v>06</v>
      </c>
      <c r="E663" s="4" t="s">
        <v>30</v>
      </c>
      <c r="F663" s="4" t="s">
        <v>31</v>
      </c>
      <c r="G663" s="8" t="str">
        <f t="shared" si="115"/>
        <v>30/06/2021</v>
      </c>
      <c r="H663" s="4" t="s">
        <v>1</v>
      </c>
      <c r="I663" s="4" t="s">
        <v>0</v>
      </c>
      <c r="J663" s="7" t="s">
        <v>1228</v>
      </c>
      <c r="K663" s="7" t="s">
        <v>117</v>
      </c>
      <c r="L663" s="9" t="str">
        <f>+VLOOKUP(K663,'[1]BASE DE PROVEEDORES'!$A:$B,2,0)</f>
        <v>PULSEM DE C.V.</v>
      </c>
      <c r="M663" s="73" t="s">
        <v>2</v>
      </c>
      <c r="N663" s="7" t="s">
        <v>2</v>
      </c>
      <c r="O663" s="7" t="s">
        <v>2</v>
      </c>
      <c r="P663" s="10">
        <v>1238.8</v>
      </c>
      <c r="Q663" s="29" t="s">
        <v>2</v>
      </c>
      <c r="R663" s="32" t="s">
        <v>2</v>
      </c>
      <c r="S663" s="32" t="s">
        <v>2</v>
      </c>
      <c r="T663" s="29">
        <f t="shared" si="116"/>
        <v>161.04400000000001</v>
      </c>
      <c r="U663" s="28">
        <f t="shared" si="117"/>
        <v>1399.8440000000001</v>
      </c>
      <c r="V663" s="4" t="s">
        <v>3</v>
      </c>
    </row>
    <row r="664" spans="1:22" x14ac:dyDescent="0.25">
      <c r="A664" s="7" t="s">
        <v>1145</v>
      </c>
      <c r="B664" s="4" t="s">
        <v>895</v>
      </c>
      <c r="C664" s="5" t="str">
        <f t="shared" si="113"/>
        <v>30</v>
      </c>
      <c r="D664" s="5" t="str">
        <f t="shared" si="114"/>
        <v>06</v>
      </c>
      <c r="E664" s="4" t="s">
        <v>30</v>
      </c>
      <c r="F664" s="4" t="s">
        <v>31</v>
      </c>
      <c r="G664" s="8" t="str">
        <f t="shared" si="115"/>
        <v>30/06/2021</v>
      </c>
      <c r="H664" s="4" t="s">
        <v>1</v>
      </c>
      <c r="I664" s="4" t="s">
        <v>0</v>
      </c>
      <c r="J664" s="7" t="s">
        <v>1232</v>
      </c>
      <c r="K664" s="7" t="s">
        <v>161</v>
      </c>
      <c r="L664" s="9" t="str">
        <f>+VLOOKUP(K664,'[1]BASE DE PROVEEDORES'!$A:$B,2,0)</f>
        <v>UNILLANTAS S.A DE C.V.</v>
      </c>
      <c r="M664" s="73" t="s">
        <v>2</v>
      </c>
      <c r="N664" s="7" t="s">
        <v>2</v>
      </c>
      <c r="O664" s="7" t="s">
        <v>2</v>
      </c>
      <c r="P664" s="10">
        <v>345.13</v>
      </c>
      <c r="Q664" s="29" t="s">
        <v>2</v>
      </c>
      <c r="R664" s="32" t="s">
        <v>2</v>
      </c>
      <c r="S664" s="32" t="s">
        <v>2</v>
      </c>
      <c r="T664" s="29">
        <f t="shared" si="116"/>
        <v>44.866900000000001</v>
      </c>
      <c r="U664" s="28">
        <f t="shared" si="117"/>
        <v>389.99689999999998</v>
      </c>
      <c r="V664" s="4" t="s">
        <v>3</v>
      </c>
    </row>
    <row r="665" spans="1:22" x14ac:dyDescent="0.25">
      <c r="A665" s="7" t="s">
        <v>1145</v>
      </c>
      <c r="B665" s="4" t="s">
        <v>895</v>
      </c>
      <c r="C665" s="5" t="str">
        <f t="shared" si="113"/>
        <v>30</v>
      </c>
      <c r="D665" s="5" t="str">
        <f t="shared" si="114"/>
        <v>06</v>
      </c>
      <c r="E665" s="4" t="s">
        <v>30</v>
      </c>
      <c r="F665" s="4" t="s">
        <v>31</v>
      </c>
      <c r="G665" s="8" t="str">
        <f t="shared" si="115"/>
        <v>30/06/2021</v>
      </c>
      <c r="H665" s="4" t="s">
        <v>1</v>
      </c>
      <c r="I665" s="4" t="s">
        <v>0</v>
      </c>
      <c r="J665" s="7" t="s">
        <v>1241</v>
      </c>
      <c r="K665" s="7" t="s">
        <v>20</v>
      </c>
      <c r="L665" s="9" t="str">
        <f>+VLOOKUP(K665,'[1]BASE DE PROVEEDORES'!$A:$B,2,0)</f>
        <v>ALMACENES VIDRI, S.A DE C.V.</v>
      </c>
      <c r="M665" s="73" t="s">
        <v>2</v>
      </c>
      <c r="N665" s="7" t="s">
        <v>2</v>
      </c>
      <c r="O665" s="7" t="s">
        <v>2</v>
      </c>
      <c r="P665" s="10">
        <v>20.83</v>
      </c>
      <c r="Q665" s="29" t="s">
        <v>2</v>
      </c>
      <c r="R665" s="32" t="s">
        <v>2</v>
      </c>
      <c r="S665" s="32" t="s">
        <v>2</v>
      </c>
      <c r="T665" s="29">
        <f t="shared" si="116"/>
        <v>2.7079</v>
      </c>
      <c r="U665" s="28">
        <f t="shared" si="117"/>
        <v>23.537899999999997</v>
      </c>
      <c r="V665" s="4" t="s">
        <v>3</v>
      </c>
    </row>
    <row r="666" spans="1:22" x14ac:dyDescent="0.25">
      <c r="A666" s="7" t="s">
        <v>1145</v>
      </c>
      <c r="B666" s="4" t="s">
        <v>895</v>
      </c>
      <c r="C666" s="5" t="str">
        <f t="shared" si="113"/>
        <v>30</v>
      </c>
      <c r="D666" s="5" t="str">
        <f t="shared" si="114"/>
        <v>06</v>
      </c>
      <c r="E666" s="4" t="s">
        <v>30</v>
      </c>
      <c r="F666" s="4" t="s">
        <v>31</v>
      </c>
      <c r="G666" s="8" t="str">
        <f t="shared" si="115"/>
        <v>30/06/2021</v>
      </c>
      <c r="H666" s="4" t="s">
        <v>1</v>
      </c>
      <c r="I666" s="4" t="s">
        <v>0</v>
      </c>
      <c r="J666" s="7" t="s">
        <v>1248</v>
      </c>
      <c r="K666" s="7" t="s">
        <v>136</v>
      </c>
      <c r="L666" s="9" t="str">
        <f>+VLOOKUP(K666,'[1]BASE DE PROVEEDORES'!$A:$B,2,0)</f>
        <v>CTE TELECOM PERSONAL S.A DE C.V.</v>
      </c>
      <c r="M666" s="73">
        <v>43.73</v>
      </c>
      <c r="N666" s="7" t="s">
        <v>2</v>
      </c>
      <c r="O666" s="7" t="s">
        <v>2</v>
      </c>
      <c r="P666" s="10">
        <v>75.63</v>
      </c>
      <c r="Q666" s="29" t="s">
        <v>2</v>
      </c>
      <c r="R666" s="32" t="s">
        <v>2</v>
      </c>
      <c r="S666" s="32" t="s">
        <v>2</v>
      </c>
      <c r="T666" s="29">
        <f t="shared" si="116"/>
        <v>9.8318999999999992</v>
      </c>
      <c r="U666" s="28">
        <f t="shared" si="117"/>
        <v>129.19189999999998</v>
      </c>
      <c r="V666" s="4" t="s">
        <v>3</v>
      </c>
    </row>
    <row r="667" spans="1:22" x14ac:dyDescent="0.25">
      <c r="A667" s="7" t="s">
        <v>1145</v>
      </c>
      <c r="B667" s="4" t="s">
        <v>895</v>
      </c>
      <c r="C667" s="5" t="str">
        <f t="shared" si="113"/>
        <v>30</v>
      </c>
      <c r="D667" s="5" t="str">
        <f t="shared" si="114"/>
        <v>06</v>
      </c>
      <c r="E667" s="4" t="s">
        <v>30</v>
      </c>
      <c r="F667" s="4" t="s">
        <v>31</v>
      </c>
      <c r="G667" s="8" t="str">
        <f t="shared" si="115"/>
        <v>30/06/2021</v>
      </c>
      <c r="H667" s="4" t="s">
        <v>1</v>
      </c>
      <c r="I667" s="4" t="s">
        <v>0</v>
      </c>
      <c r="J667" s="7" t="s">
        <v>1288</v>
      </c>
      <c r="K667" s="7" t="s">
        <v>126</v>
      </c>
      <c r="L667" s="9" t="str">
        <f>+VLOOKUP(K667,'[1]BASE DE PROVEEDORES'!$A:$B,2,0)</f>
        <v>REPUESTOS IZALCO S.A DE C.V.</v>
      </c>
      <c r="M667" s="73" t="s">
        <v>2</v>
      </c>
      <c r="N667" s="7" t="s">
        <v>2</v>
      </c>
      <c r="O667" s="7" t="s">
        <v>2</v>
      </c>
      <c r="P667" s="10">
        <v>43.38</v>
      </c>
      <c r="Q667" s="29" t="s">
        <v>2</v>
      </c>
      <c r="R667" s="32" t="s">
        <v>2</v>
      </c>
      <c r="S667" s="32" t="s">
        <v>2</v>
      </c>
      <c r="T667" s="29">
        <f t="shared" si="116"/>
        <v>5.6394000000000002</v>
      </c>
      <c r="U667" s="28">
        <f t="shared" si="117"/>
        <v>49.019400000000005</v>
      </c>
      <c r="V667" s="4" t="s">
        <v>3</v>
      </c>
    </row>
    <row r="668" spans="1:22" x14ac:dyDescent="0.25">
      <c r="A668" s="7" t="s">
        <v>1145</v>
      </c>
      <c r="B668" s="4" t="s">
        <v>895</v>
      </c>
      <c r="C668" s="5" t="str">
        <f t="shared" si="113"/>
        <v>30</v>
      </c>
      <c r="D668" s="5" t="str">
        <f t="shared" si="114"/>
        <v>06</v>
      </c>
      <c r="E668" s="4" t="s">
        <v>30</v>
      </c>
      <c r="F668" s="4" t="s">
        <v>31</v>
      </c>
      <c r="G668" s="8" t="str">
        <f t="shared" si="115"/>
        <v>30/06/2021</v>
      </c>
      <c r="H668" s="4" t="s">
        <v>1</v>
      </c>
      <c r="I668" s="4" t="s">
        <v>0</v>
      </c>
      <c r="J668" s="7" t="s">
        <v>1293</v>
      </c>
      <c r="K668" s="7" t="s">
        <v>797</v>
      </c>
      <c r="L668" s="9" t="str">
        <f>+VLOOKUP(K668,'[1]BASE DE PROVEEDORES'!$A:$B,2,0)</f>
        <v>FERRETERIA LA PALMA S.A DE C.V.</v>
      </c>
      <c r="M668" s="73" t="s">
        <v>2</v>
      </c>
      <c r="N668" s="7" t="s">
        <v>2</v>
      </c>
      <c r="O668" s="7" t="s">
        <v>2</v>
      </c>
      <c r="P668" s="10">
        <v>13.91</v>
      </c>
      <c r="Q668" s="29" t="s">
        <v>2</v>
      </c>
      <c r="R668" s="32" t="s">
        <v>2</v>
      </c>
      <c r="S668" s="32" t="s">
        <v>2</v>
      </c>
      <c r="T668" s="29">
        <f t="shared" si="116"/>
        <v>1.8083</v>
      </c>
      <c r="U668" s="28">
        <f t="shared" si="117"/>
        <v>15.718299999999999</v>
      </c>
      <c r="V668" s="4" t="s">
        <v>3</v>
      </c>
    </row>
    <row r="669" spans="1:22" x14ac:dyDescent="0.25">
      <c r="A669" s="7" t="s">
        <v>1145</v>
      </c>
      <c r="B669" s="4" t="s">
        <v>1196</v>
      </c>
      <c r="C669" s="5" t="str">
        <f t="shared" si="113"/>
        <v>30</v>
      </c>
      <c r="D669" s="5" t="str">
        <f t="shared" si="114"/>
        <v>07</v>
      </c>
      <c r="E669" s="4" t="s">
        <v>30</v>
      </c>
      <c r="F669" s="4" t="s">
        <v>31</v>
      </c>
      <c r="G669" s="8" t="str">
        <f t="shared" si="115"/>
        <v>30/07/2021</v>
      </c>
      <c r="H669" s="4" t="s">
        <v>1</v>
      </c>
      <c r="I669" s="4" t="s">
        <v>0</v>
      </c>
      <c r="J669" s="7" t="s">
        <v>1197</v>
      </c>
      <c r="K669" s="7" t="s">
        <v>45</v>
      </c>
      <c r="L669" s="9" t="str">
        <f>+VLOOKUP(K669,'[1]BASE DE PROVEEDORES'!$A:$B,2,0)</f>
        <v>JOSE RICARDO ANTONIO MOLINA</v>
      </c>
      <c r="M669" s="73">
        <f>5.5+2.75</f>
        <v>8.25</v>
      </c>
      <c r="N669" s="7" t="s">
        <v>2</v>
      </c>
      <c r="O669" s="7" t="s">
        <v>2</v>
      </c>
      <c r="P669" s="10">
        <v>70.33</v>
      </c>
      <c r="Q669" s="29" t="s">
        <v>2</v>
      </c>
      <c r="R669" s="32" t="s">
        <v>2</v>
      </c>
      <c r="S669" s="32" t="s">
        <v>2</v>
      </c>
      <c r="T669" s="29">
        <f t="shared" si="116"/>
        <v>9.1429000000000009</v>
      </c>
      <c r="U669" s="28">
        <f t="shared" si="117"/>
        <v>87.722899999999996</v>
      </c>
      <c r="V669" s="4" t="s">
        <v>3</v>
      </c>
    </row>
    <row r="670" spans="1:22" x14ac:dyDescent="0.25">
      <c r="A670" s="7" t="s">
        <v>1145</v>
      </c>
      <c r="B670" s="4" t="s">
        <v>1196</v>
      </c>
      <c r="C670" s="5" t="str">
        <f t="shared" si="113"/>
        <v>30</v>
      </c>
      <c r="D670" s="5" t="str">
        <f t="shared" si="114"/>
        <v>07</v>
      </c>
      <c r="E670" s="4" t="s">
        <v>30</v>
      </c>
      <c r="F670" s="4" t="s">
        <v>31</v>
      </c>
      <c r="G670" s="8" t="str">
        <f t="shared" si="115"/>
        <v>30/07/2021</v>
      </c>
      <c r="H670" s="4" t="s">
        <v>1</v>
      </c>
      <c r="I670" s="4" t="s">
        <v>0</v>
      </c>
      <c r="J670" s="7" t="s">
        <v>1198</v>
      </c>
      <c r="K670" s="7" t="s">
        <v>45</v>
      </c>
      <c r="L670" s="9" t="str">
        <f>+VLOOKUP(K670,'[1]BASE DE PROVEEDORES'!$A:$B,2,0)</f>
        <v>JOSE RICARDO ANTONIO MOLINA</v>
      </c>
      <c r="M670" s="73">
        <v>1.5</v>
      </c>
      <c r="N670" s="7" t="s">
        <v>2</v>
      </c>
      <c r="O670" s="7" t="s">
        <v>2</v>
      </c>
      <c r="P670" s="10">
        <v>12.83</v>
      </c>
      <c r="Q670" s="29" t="s">
        <v>2</v>
      </c>
      <c r="R670" s="32" t="s">
        <v>2</v>
      </c>
      <c r="S670" s="32" t="s">
        <v>2</v>
      </c>
      <c r="T670" s="29">
        <f t="shared" si="116"/>
        <v>1.6679000000000002</v>
      </c>
      <c r="U670" s="28">
        <f t="shared" si="117"/>
        <v>15.9979</v>
      </c>
      <c r="V670" s="4" t="s">
        <v>3</v>
      </c>
    </row>
    <row r="671" spans="1:22" x14ac:dyDescent="0.25">
      <c r="A671" s="7" t="s">
        <v>1145</v>
      </c>
      <c r="B671" s="4" t="s">
        <v>1196</v>
      </c>
      <c r="C671" s="5" t="str">
        <f t="shared" si="113"/>
        <v>30</v>
      </c>
      <c r="D671" s="5" t="str">
        <f t="shared" si="114"/>
        <v>07</v>
      </c>
      <c r="E671" s="4" t="s">
        <v>30</v>
      </c>
      <c r="F671" s="4" t="s">
        <v>31</v>
      </c>
      <c r="G671" s="8" t="str">
        <f t="shared" si="115"/>
        <v>30/07/2021</v>
      </c>
      <c r="H671" s="4" t="s">
        <v>1</v>
      </c>
      <c r="I671" s="4" t="s">
        <v>0</v>
      </c>
      <c r="J671" s="7" t="s">
        <v>1201</v>
      </c>
      <c r="K671" s="7" t="s">
        <v>28</v>
      </c>
      <c r="L671" s="9" t="str">
        <f>+VLOOKUP(K671,'[1]BASE DE PROVEEDORES'!$A:$B,2,0)</f>
        <v xml:space="preserve">ACTIVIDADES PETROLERAS DE EL SALVADOR S.A DE C.V </v>
      </c>
      <c r="M671" s="73">
        <v>4.99</v>
      </c>
      <c r="N671" s="7" t="s">
        <v>2</v>
      </c>
      <c r="O671" s="7" t="s">
        <v>2</v>
      </c>
      <c r="P671" s="10">
        <v>42.49</v>
      </c>
      <c r="Q671" s="29" t="s">
        <v>2</v>
      </c>
      <c r="R671" s="32" t="s">
        <v>2</v>
      </c>
      <c r="S671" s="32" t="s">
        <v>2</v>
      </c>
      <c r="T671" s="29">
        <f t="shared" si="116"/>
        <v>5.5237000000000007</v>
      </c>
      <c r="U671" s="28">
        <f t="shared" si="117"/>
        <v>53.003700000000002</v>
      </c>
      <c r="V671" s="4" t="s">
        <v>3</v>
      </c>
    </row>
    <row r="672" spans="1:22" x14ac:dyDescent="0.25">
      <c r="A672" s="7" t="s">
        <v>1145</v>
      </c>
      <c r="B672" s="4" t="s">
        <v>1196</v>
      </c>
      <c r="C672" s="5" t="str">
        <f t="shared" si="113"/>
        <v>30</v>
      </c>
      <c r="D672" s="5" t="str">
        <f t="shared" si="114"/>
        <v>07</v>
      </c>
      <c r="E672" s="4" t="s">
        <v>30</v>
      </c>
      <c r="F672" s="4" t="s">
        <v>31</v>
      </c>
      <c r="G672" s="8" t="str">
        <f t="shared" si="115"/>
        <v>30/07/2021</v>
      </c>
      <c r="H672" s="4" t="s">
        <v>1</v>
      </c>
      <c r="I672" s="4" t="s">
        <v>0</v>
      </c>
      <c r="J672" s="7" t="s">
        <v>1312</v>
      </c>
      <c r="K672" s="7" t="s">
        <v>172</v>
      </c>
      <c r="L672" s="9" t="str">
        <f>+VLOOKUP(K672,'[1]BASE DE PROVEEDORES'!$A:$B,2,0)</f>
        <v>MANEJO INTEGRAL DE DESECHOS SOLIDOS SEM DE C.V.</v>
      </c>
      <c r="M672" s="73" t="s">
        <v>2</v>
      </c>
      <c r="N672" s="7" t="s">
        <v>2</v>
      </c>
      <c r="O672" s="7" t="s">
        <v>2</v>
      </c>
      <c r="P672" s="10">
        <v>28.08</v>
      </c>
      <c r="Q672" s="29" t="s">
        <v>2</v>
      </c>
      <c r="R672" s="32" t="s">
        <v>2</v>
      </c>
      <c r="S672" s="32" t="s">
        <v>2</v>
      </c>
      <c r="T672" s="29">
        <f t="shared" si="116"/>
        <v>3.6503999999999999</v>
      </c>
      <c r="U672" s="28">
        <f t="shared" si="117"/>
        <v>31.730399999999999</v>
      </c>
      <c r="V672" s="4" t="s">
        <v>3</v>
      </c>
    </row>
    <row r="673" spans="1:22" x14ac:dyDescent="0.25">
      <c r="A673" s="7" t="s">
        <v>1145</v>
      </c>
      <c r="B673" s="4" t="s">
        <v>1196</v>
      </c>
      <c r="C673" s="5" t="str">
        <f t="shared" si="113"/>
        <v>30</v>
      </c>
      <c r="D673" s="5" t="str">
        <f t="shared" si="114"/>
        <v>07</v>
      </c>
      <c r="E673" s="4" t="s">
        <v>30</v>
      </c>
      <c r="F673" s="4" t="s">
        <v>31</v>
      </c>
      <c r="G673" s="8" t="str">
        <f t="shared" si="115"/>
        <v>30/07/2021</v>
      </c>
      <c r="H673" s="4" t="s">
        <v>1</v>
      </c>
      <c r="I673" s="4" t="s">
        <v>0</v>
      </c>
      <c r="J673" s="7" t="s">
        <v>1326</v>
      </c>
      <c r="K673" s="7" t="s">
        <v>172</v>
      </c>
      <c r="L673" s="9" t="str">
        <f>+VLOOKUP(K673,'[1]BASE DE PROVEEDORES'!$A:$B,2,0)</f>
        <v>MANEJO INTEGRAL DE DESECHOS SOLIDOS SEM DE C.V.</v>
      </c>
      <c r="M673" s="73" t="s">
        <v>2</v>
      </c>
      <c r="N673" s="7" t="s">
        <v>2</v>
      </c>
      <c r="O673" s="7" t="s">
        <v>2</v>
      </c>
      <c r="P673" s="10">
        <v>42.4</v>
      </c>
      <c r="Q673" s="29" t="s">
        <v>2</v>
      </c>
      <c r="R673" s="32" t="s">
        <v>2</v>
      </c>
      <c r="S673" s="32" t="s">
        <v>2</v>
      </c>
      <c r="T673" s="29">
        <f t="shared" si="116"/>
        <v>5.5119999999999996</v>
      </c>
      <c r="U673" s="28">
        <f t="shared" si="117"/>
        <v>47.911999999999999</v>
      </c>
      <c r="V673" s="4" t="s">
        <v>3</v>
      </c>
    </row>
    <row r="674" spans="1:22" x14ac:dyDescent="0.25">
      <c r="A674" s="7" t="s">
        <v>1145</v>
      </c>
      <c r="B674" s="4" t="s">
        <v>1196</v>
      </c>
      <c r="C674" s="5" t="str">
        <f t="shared" si="113"/>
        <v>30</v>
      </c>
      <c r="D674" s="5" t="str">
        <f t="shared" si="114"/>
        <v>07</v>
      </c>
      <c r="E674" s="4" t="s">
        <v>30</v>
      </c>
      <c r="F674" s="4" t="s">
        <v>31</v>
      </c>
      <c r="G674" s="8" t="str">
        <f t="shared" si="115"/>
        <v>30/07/2021</v>
      </c>
      <c r="H674" s="4" t="s">
        <v>1</v>
      </c>
      <c r="I674" s="4" t="s">
        <v>0</v>
      </c>
      <c r="J674" s="7" t="s">
        <v>1337</v>
      </c>
      <c r="K674" s="7" t="s">
        <v>172</v>
      </c>
      <c r="L674" s="9" t="str">
        <f>+VLOOKUP(K674,'[1]BASE DE PROVEEDORES'!$A:$B,2,0)</f>
        <v>MANEJO INTEGRAL DE DESECHOS SOLIDOS SEM DE C.V.</v>
      </c>
      <c r="M674" s="73" t="s">
        <v>2</v>
      </c>
      <c r="N674" s="7" t="s">
        <v>2</v>
      </c>
      <c r="O674" s="7" t="s">
        <v>2</v>
      </c>
      <c r="P674" s="10">
        <v>56.26</v>
      </c>
      <c r="Q674" s="29" t="s">
        <v>2</v>
      </c>
      <c r="R674" s="32" t="s">
        <v>2</v>
      </c>
      <c r="S674" s="32" t="s">
        <v>2</v>
      </c>
      <c r="T674" s="29">
        <f t="shared" si="116"/>
        <v>7.3137999999999996</v>
      </c>
      <c r="U674" s="28">
        <f t="shared" si="117"/>
        <v>63.573799999999999</v>
      </c>
      <c r="V674" s="4" t="s">
        <v>3</v>
      </c>
    </row>
    <row r="675" spans="1:22" x14ac:dyDescent="0.25">
      <c r="A675" s="7" t="s">
        <v>1145</v>
      </c>
      <c r="B675" s="4" t="s">
        <v>1199</v>
      </c>
      <c r="C675" s="5" t="str">
        <f t="shared" si="113"/>
        <v>31</v>
      </c>
      <c r="D675" s="5" t="str">
        <f t="shared" si="114"/>
        <v>07</v>
      </c>
      <c r="E675" s="4" t="s">
        <v>30</v>
      </c>
      <c r="F675" s="4" t="s">
        <v>31</v>
      </c>
      <c r="G675" s="8" t="str">
        <f t="shared" si="115"/>
        <v>31/07/2021</v>
      </c>
      <c r="H675" s="4" t="s">
        <v>1</v>
      </c>
      <c r="I675" s="4" t="s">
        <v>0</v>
      </c>
      <c r="J675" s="7" t="s">
        <v>1200</v>
      </c>
      <c r="K675" s="7" t="s">
        <v>45</v>
      </c>
      <c r="L675" s="9" t="str">
        <f>+VLOOKUP(K675,'[1]BASE DE PROVEEDORES'!$A:$B,2,0)</f>
        <v>JOSE RICARDO ANTONIO MOLINA</v>
      </c>
      <c r="M675" s="73">
        <f>7.38+3.69</f>
        <v>11.07</v>
      </c>
      <c r="N675" s="7" t="s">
        <v>2</v>
      </c>
      <c r="O675" s="7" t="s">
        <v>2</v>
      </c>
      <c r="P675" s="10">
        <v>94.42</v>
      </c>
      <c r="Q675" s="29" t="s">
        <v>2</v>
      </c>
      <c r="R675" s="32" t="s">
        <v>2</v>
      </c>
      <c r="S675" s="32" t="s">
        <v>2</v>
      </c>
      <c r="T675" s="29">
        <f t="shared" si="116"/>
        <v>12.274600000000001</v>
      </c>
      <c r="U675" s="28">
        <f t="shared" si="117"/>
        <v>117.76460000000002</v>
      </c>
      <c r="V675" s="4" t="s">
        <v>3</v>
      </c>
    </row>
    <row r="676" spans="1:22" x14ac:dyDescent="0.25">
      <c r="A676" s="7" t="s">
        <v>1145</v>
      </c>
      <c r="B676" s="4" t="s">
        <v>1199</v>
      </c>
      <c r="C676" s="5" t="str">
        <f t="shared" si="113"/>
        <v>31</v>
      </c>
      <c r="D676" s="5" t="str">
        <f t="shared" si="114"/>
        <v>07</v>
      </c>
      <c r="E676" s="4" t="s">
        <v>30</v>
      </c>
      <c r="F676" s="4" t="s">
        <v>31</v>
      </c>
      <c r="G676" s="8" t="str">
        <f t="shared" si="115"/>
        <v>31/07/2021</v>
      </c>
      <c r="H676" s="4" t="s">
        <v>1</v>
      </c>
      <c r="I676" s="4" t="s">
        <v>0</v>
      </c>
      <c r="J676" s="7" t="s">
        <v>1284</v>
      </c>
      <c r="K676" s="7" t="s">
        <v>126</v>
      </c>
      <c r="L676" s="9" t="str">
        <f>+VLOOKUP(K676,'[1]BASE DE PROVEEDORES'!$A:$B,2,0)</f>
        <v>REPUESTOS IZALCO S.A DE C.V.</v>
      </c>
      <c r="M676" s="73" t="s">
        <v>2</v>
      </c>
      <c r="N676" s="7" t="s">
        <v>2</v>
      </c>
      <c r="O676" s="7" t="s">
        <v>2</v>
      </c>
      <c r="P676" s="10">
        <v>5</v>
      </c>
      <c r="Q676" s="29" t="s">
        <v>2</v>
      </c>
      <c r="R676" s="32" t="s">
        <v>2</v>
      </c>
      <c r="S676" s="32" t="s">
        <v>2</v>
      </c>
      <c r="T676" s="29">
        <f t="shared" si="116"/>
        <v>0.65</v>
      </c>
      <c r="U676" s="28">
        <f t="shared" si="117"/>
        <v>5.65</v>
      </c>
      <c r="V676" s="4" t="s">
        <v>3</v>
      </c>
    </row>
    <row r="677" spans="1:22" x14ac:dyDescent="0.25">
      <c r="A677" s="7" t="s">
        <v>1145</v>
      </c>
      <c r="B677" s="4" t="s">
        <v>1199</v>
      </c>
      <c r="C677" s="5" t="str">
        <f t="shared" si="113"/>
        <v>31</v>
      </c>
      <c r="D677" s="5" t="str">
        <f t="shared" si="114"/>
        <v>07</v>
      </c>
      <c r="E677" s="4" t="s">
        <v>30</v>
      </c>
      <c r="F677" s="4" t="s">
        <v>31</v>
      </c>
      <c r="G677" s="8" t="str">
        <f t="shared" si="115"/>
        <v>31/07/2021</v>
      </c>
      <c r="H677" s="4" t="s">
        <v>1</v>
      </c>
      <c r="I677" s="4" t="s">
        <v>0</v>
      </c>
      <c r="J677" s="7" t="s">
        <v>1291</v>
      </c>
      <c r="K677" s="7" t="s">
        <v>24</v>
      </c>
      <c r="L677" s="9" t="str">
        <f>+VLOOKUP(K677,'[1]BASE DE PROVEEDORES'!$A:$B,2,0)</f>
        <v>ECSA OPERADORA EL SALVADOR S.A DE C.V.</v>
      </c>
      <c r="M677" s="73">
        <v>4.45</v>
      </c>
      <c r="N677" s="7" t="s">
        <v>2</v>
      </c>
      <c r="O677" s="7" t="s">
        <v>2</v>
      </c>
      <c r="P677" s="10">
        <v>37.950000000000003</v>
      </c>
      <c r="Q677" s="29" t="s">
        <v>2</v>
      </c>
      <c r="R677" s="32" t="s">
        <v>2</v>
      </c>
      <c r="S677" s="32" t="s">
        <v>2</v>
      </c>
      <c r="T677" s="29">
        <f t="shared" si="116"/>
        <v>4.9335000000000004</v>
      </c>
      <c r="U677" s="28">
        <f t="shared" si="117"/>
        <v>47.333500000000008</v>
      </c>
      <c r="V677" s="4" t="s">
        <v>3</v>
      </c>
    </row>
    <row r="678" spans="1:22" x14ac:dyDescent="0.25">
      <c r="C678" s="5"/>
      <c r="D678" s="5"/>
      <c r="G678" s="8"/>
    </row>
    <row r="679" spans="1:22" x14ac:dyDescent="0.25">
      <c r="C679" s="5"/>
      <c r="D679" s="5"/>
      <c r="G679" s="8"/>
    </row>
    <row r="680" spans="1:22" x14ac:dyDescent="0.25">
      <c r="C680" s="5"/>
      <c r="D680" s="5"/>
      <c r="G680" s="8"/>
    </row>
    <row r="681" spans="1:22" x14ac:dyDescent="0.25">
      <c r="C681" s="5"/>
      <c r="D681" s="5"/>
      <c r="G681" s="8"/>
    </row>
    <row r="682" spans="1:22" x14ac:dyDescent="0.25">
      <c r="C682" s="5"/>
      <c r="D682" s="5"/>
      <c r="G682" s="8"/>
    </row>
    <row r="683" spans="1:22" x14ac:dyDescent="0.25">
      <c r="C683" s="5"/>
      <c r="D683" s="5"/>
      <c r="G683" s="8"/>
    </row>
    <row r="684" spans="1:22" x14ac:dyDescent="0.25">
      <c r="C684" s="5"/>
      <c r="D684" s="5"/>
      <c r="G684" s="8"/>
    </row>
    <row r="685" spans="1:22" x14ac:dyDescent="0.25">
      <c r="C685" s="5"/>
      <c r="D685" s="5"/>
      <c r="G685" s="8"/>
    </row>
    <row r="686" spans="1:22" x14ac:dyDescent="0.25">
      <c r="C686" s="5"/>
      <c r="D686" s="5"/>
      <c r="G686" s="8"/>
    </row>
    <row r="687" spans="1:22" x14ac:dyDescent="0.25">
      <c r="C687" s="5"/>
      <c r="D687" s="5"/>
      <c r="G687" s="8"/>
    </row>
    <row r="688" spans="1:22" x14ac:dyDescent="0.25">
      <c r="C688" s="5"/>
      <c r="D688" s="5"/>
      <c r="G688" s="8"/>
    </row>
    <row r="689" spans="3:7" x14ac:dyDescent="0.25">
      <c r="C689" s="5"/>
      <c r="D689" s="5"/>
      <c r="G689" s="8"/>
    </row>
    <row r="690" spans="3:7" x14ac:dyDescent="0.25">
      <c r="C690" s="5"/>
      <c r="D690" s="5"/>
      <c r="G690" s="8"/>
    </row>
    <row r="691" spans="3:7" x14ac:dyDescent="0.25">
      <c r="C691" s="5"/>
      <c r="D691" s="5"/>
      <c r="G691" s="8"/>
    </row>
    <row r="692" spans="3:7" x14ac:dyDescent="0.25">
      <c r="C692" s="5"/>
      <c r="D692" s="5"/>
      <c r="G692" s="8"/>
    </row>
    <row r="693" spans="3:7" x14ac:dyDescent="0.25">
      <c r="C693" s="5"/>
      <c r="D693" s="5"/>
      <c r="G693" s="8"/>
    </row>
    <row r="5000" spans="13:21" x14ac:dyDescent="0.25">
      <c r="M5000" s="71">
        <f>SUBTOTAL(9,M2:M4999)</f>
        <v>490.94000000000011</v>
      </c>
      <c r="P5000" s="33">
        <f>SUBTOTAL(9,P2:P4999)</f>
        <v>10353.469999999999</v>
      </c>
      <c r="T5000" s="33">
        <f>SUBTOTAL(9,T2:T4999)</f>
        <v>1345.9510999999998</v>
      </c>
      <c r="U5000" s="33">
        <f>SUBTOTAL(9,U2:U4999)</f>
        <v>12190.361100000006</v>
      </c>
    </row>
  </sheetData>
  <autoFilter ref="A1:X677">
    <filterColumn colId="0">
      <filters>
        <filter val="JULIO"/>
      </filters>
    </filterColumn>
    <sortState ref="A518:X677">
      <sortCondition ref="G1:G677"/>
    </sortState>
  </autoFilter>
  <conditionalFormatting sqref="J1:J515 J520:J676 J678:J1048576">
    <cfRule type="duplicateValues" dxfId="14" priority="11"/>
    <cfRule type="duplicateValues" dxfId="13" priority="13"/>
  </conditionalFormatting>
  <conditionalFormatting sqref="K87">
    <cfRule type="duplicateValues" dxfId="12" priority="12"/>
  </conditionalFormatting>
  <conditionalFormatting sqref="J516:J519">
    <cfRule type="duplicateValues" dxfId="11" priority="9"/>
    <cfRule type="duplicateValues" dxfId="10" priority="10"/>
  </conditionalFormatting>
  <conditionalFormatting sqref="J1:J676 J678:J1048576">
    <cfRule type="duplicateValues" dxfId="9" priority="8"/>
    <cfRule type="duplicateValues" dxfId="8" priority="5"/>
  </conditionalFormatting>
  <conditionalFormatting sqref="K516">
    <cfRule type="duplicateValues" dxfId="7" priority="7"/>
  </conditionalFormatting>
  <conditionalFormatting sqref="K516">
    <cfRule type="duplicateValues" dxfId="6" priority="6"/>
  </conditionalFormatting>
  <conditionalFormatting sqref="J677">
    <cfRule type="duplicateValues" dxfId="5" priority="3"/>
    <cfRule type="duplicateValues" dxfId="4" priority="4"/>
  </conditionalFormatting>
  <conditionalFormatting sqref="J677">
    <cfRule type="duplicateValues" dxfId="3" priority="1"/>
    <cfRule type="duplicateValues" dxfId="2" priority="2"/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 filterMode="1">
    <tabColor theme="4" tint="-0.249977111117893"/>
  </sheetPr>
  <dimension ref="A1:V1000"/>
  <sheetViews>
    <sheetView topLeftCell="G977" workbookViewId="0">
      <selection activeCell="V1000" sqref="V1000"/>
    </sheetView>
  </sheetViews>
  <sheetFormatPr baseColWidth="10" defaultRowHeight="15" x14ac:dyDescent="0.25"/>
  <cols>
    <col min="2" max="2" width="11.42578125" style="1"/>
    <col min="3" max="6" width="11.42578125" customWidth="1"/>
    <col min="7" max="7" width="11.42578125" style="1"/>
    <col min="8" max="11" width="11.42578125" style="1" customWidth="1"/>
    <col min="12" max="14" width="11.42578125" style="76" customWidth="1"/>
    <col min="15" max="15" width="11.42578125" style="76"/>
    <col min="16" max="16" width="11.42578125" style="76" customWidth="1"/>
    <col min="17" max="20" width="11.42578125" style="75" customWidth="1"/>
    <col min="21" max="21" width="11.42578125" style="19"/>
  </cols>
  <sheetData>
    <row r="1" spans="1:22" x14ac:dyDescent="0.25">
      <c r="A1" s="1" t="s">
        <v>22</v>
      </c>
      <c r="B1" s="1" t="s">
        <v>4</v>
      </c>
      <c r="C1" s="1" t="s">
        <v>5</v>
      </c>
      <c r="D1" s="1" t="s">
        <v>6</v>
      </c>
      <c r="E1" s="1" t="s">
        <v>482</v>
      </c>
      <c r="F1" s="1" t="s">
        <v>481</v>
      </c>
      <c r="G1" s="1" t="s">
        <v>480</v>
      </c>
      <c r="H1" s="1" t="s">
        <v>479</v>
      </c>
      <c r="I1" s="1" t="s">
        <v>480</v>
      </c>
      <c r="J1" s="1" t="s">
        <v>479</v>
      </c>
      <c r="K1" s="1" t="s">
        <v>478</v>
      </c>
      <c r="L1" s="76" t="s">
        <v>477</v>
      </c>
      <c r="M1" s="76" t="s">
        <v>476</v>
      </c>
      <c r="N1" s="76" t="s">
        <v>475</v>
      </c>
      <c r="O1" s="76" t="s">
        <v>474</v>
      </c>
      <c r="P1" s="76" t="s">
        <v>473</v>
      </c>
      <c r="Q1" s="75" t="s">
        <v>472</v>
      </c>
      <c r="R1" s="75" t="s">
        <v>471</v>
      </c>
      <c r="S1" s="75" t="s">
        <v>470</v>
      </c>
      <c r="T1" s="75" t="s">
        <v>469</v>
      </c>
      <c r="U1" s="16" t="s">
        <v>277</v>
      </c>
      <c r="V1" s="1" t="s">
        <v>276</v>
      </c>
    </row>
    <row r="2" spans="1:22" hidden="1" x14ac:dyDescent="0.25">
      <c r="A2" s="1" t="s">
        <v>23</v>
      </c>
      <c r="B2" s="1" t="s">
        <v>468</v>
      </c>
      <c r="C2" s="1" t="s">
        <v>1</v>
      </c>
      <c r="D2" s="1" t="s">
        <v>40</v>
      </c>
      <c r="E2" s="1" t="s">
        <v>467</v>
      </c>
      <c r="F2" s="1" t="s">
        <v>466</v>
      </c>
      <c r="G2" s="1" t="s">
        <v>465</v>
      </c>
      <c r="H2" s="1" t="s">
        <v>465</v>
      </c>
      <c r="I2" s="1" t="s">
        <v>465</v>
      </c>
      <c r="J2" s="1" t="s">
        <v>465</v>
      </c>
      <c r="L2" s="75">
        <v>1068.6500000000001</v>
      </c>
      <c r="M2" s="75" t="s">
        <v>212</v>
      </c>
      <c r="N2" s="75" t="s">
        <v>212</v>
      </c>
      <c r="O2" s="75" t="s">
        <v>212</v>
      </c>
      <c r="P2" s="75" t="s">
        <v>212</v>
      </c>
      <c r="Q2" s="75" t="s">
        <v>212</v>
      </c>
      <c r="R2" s="75" t="s">
        <v>212</v>
      </c>
      <c r="S2" s="75" t="s">
        <v>212</v>
      </c>
      <c r="T2" s="75" t="s">
        <v>212</v>
      </c>
      <c r="U2" s="16">
        <f>SUM(L2:T2)</f>
        <v>1068.6500000000001</v>
      </c>
      <c r="V2" s="1" t="s">
        <v>456</v>
      </c>
    </row>
    <row r="3" spans="1:22" hidden="1" x14ac:dyDescent="0.25">
      <c r="A3" s="1" t="s">
        <v>23</v>
      </c>
      <c r="B3" s="1" t="s">
        <v>463</v>
      </c>
      <c r="C3" s="1" t="s">
        <v>1</v>
      </c>
      <c r="D3" s="1" t="s">
        <v>61</v>
      </c>
      <c r="E3" s="1" t="s">
        <v>459</v>
      </c>
      <c r="F3" s="1" t="s">
        <v>458</v>
      </c>
      <c r="G3" s="1" t="s">
        <v>464</v>
      </c>
      <c r="H3" s="1" t="s">
        <v>464</v>
      </c>
      <c r="I3" s="1" t="s">
        <v>464</v>
      </c>
      <c r="J3" s="1" t="s">
        <v>464</v>
      </c>
      <c r="L3" s="75" t="s">
        <v>212</v>
      </c>
      <c r="M3" s="75" t="s">
        <v>212</v>
      </c>
      <c r="N3" s="75" t="s">
        <v>212</v>
      </c>
      <c r="O3" s="75">
        <v>293.52999999999997</v>
      </c>
      <c r="P3" s="75" t="s">
        <v>212</v>
      </c>
      <c r="Q3" s="75" t="s">
        <v>212</v>
      </c>
      <c r="R3" s="75" t="s">
        <v>212</v>
      </c>
      <c r="S3" s="75" t="s">
        <v>212</v>
      </c>
      <c r="T3" s="75" t="s">
        <v>212</v>
      </c>
      <c r="U3" s="16">
        <f t="shared" ref="U3:U8" si="0">+O3</f>
        <v>293.52999999999997</v>
      </c>
      <c r="V3" s="1" t="s">
        <v>456</v>
      </c>
    </row>
    <row r="4" spans="1:22" hidden="1" x14ac:dyDescent="0.25">
      <c r="A4" s="1" t="s">
        <v>23</v>
      </c>
      <c r="B4" s="1" t="s">
        <v>463</v>
      </c>
      <c r="C4" s="1" t="s">
        <v>1</v>
      </c>
      <c r="D4" s="1" t="s">
        <v>61</v>
      </c>
      <c r="E4" s="1" t="s">
        <v>459</v>
      </c>
      <c r="F4" s="1" t="s">
        <v>458</v>
      </c>
      <c r="G4" s="1" t="s">
        <v>462</v>
      </c>
      <c r="H4" s="1" t="s">
        <v>462</v>
      </c>
      <c r="I4" s="1" t="s">
        <v>462</v>
      </c>
      <c r="J4" s="1" t="s">
        <v>462</v>
      </c>
      <c r="L4" s="75" t="s">
        <v>212</v>
      </c>
      <c r="M4" s="75" t="s">
        <v>212</v>
      </c>
      <c r="N4" s="75" t="s">
        <v>212</v>
      </c>
      <c r="O4" s="75">
        <v>151.33000000000001</v>
      </c>
      <c r="P4" s="75" t="s">
        <v>212</v>
      </c>
      <c r="Q4" s="75" t="s">
        <v>212</v>
      </c>
      <c r="R4" s="75" t="s">
        <v>212</v>
      </c>
      <c r="S4" s="75" t="s">
        <v>212</v>
      </c>
      <c r="T4" s="75" t="s">
        <v>212</v>
      </c>
      <c r="U4" s="16">
        <f t="shared" si="0"/>
        <v>151.33000000000001</v>
      </c>
      <c r="V4" s="1" t="s">
        <v>456</v>
      </c>
    </row>
    <row r="5" spans="1:22" hidden="1" x14ac:dyDescent="0.25">
      <c r="A5" s="1" t="s">
        <v>23</v>
      </c>
      <c r="B5" s="1" t="s">
        <v>460</v>
      </c>
      <c r="C5" s="1" t="s">
        <v>1</v>
      </c>
      <c r="D5" s="1" t="s">
        <v>61</v>
      </c>
      <c r="E5" s="1" t="s">
        <v>459</v>
      </c>
      <c r="F5" s="1" t="s">
        <v>458</v>
      </c>
      <c r="G5" s="1" t="s">
        <v>461</v>
      </c>
      <c r="H5" s="1" t="s">
        <v>461</v>
      </c>
      <c r="I5" s="1" t="s">
        <v>461</v>
      </c>
      <c r="J5" s="1" t="s">
        <v>461</v>
      </c>
      <c r="L5" s="75" t="s">
        <v>212</v>
      </c>
      <c r="M5" s="75" t="s">
        <v>212</v>
      </c>
      <c r="N5" s="75" t="s">
        <v>212</v>
      </c>
      <c r="O5" s="75">
        <v>385</v>
      </c>
      <c r="P5" s="75" t="s">
        <v>212</v>
      </c>
      <c r="Q5" s="75" t="s">
        <v>212</v>
      </c>
      <c r="R5" s="75" t="s">
        <v>212</v>
      </c>
      <c r="S5" s="75" t="s">
        <v>212</v>
      </c>
      <c r="T5" s="75" t="s">
        <v>212</v>
      </c>
      <c r="U5" s="16">
        <f t="shared" si="0"/>
        <v>385</v>
      </c>
      <c r="V5" s="1" t="s">
        <v>456</v>
      </c>
    </row>
    <row r="6" spans="1:22" hidden="1" x14ac:dyDescent="0.25">
      <c r="A6" s="1" t="s">
        <v>23</v>
      </c>
      <c r="B6" s="1" t="s">
        <v>460</v>
      </c>
      <c r="C6" s="1" t="s">
        <v>1</v>
      </c>
      <c r="D6" s="1" t="s">
        <v>61</v>
      </c>
      <c r="E6" s="1" t="s">
        <v>459</v>
      </c>
      <c r="F6" s="1" t="s">
        <v>458</v>
      </c>
      <c r="G6" s="1" t="s">
        <v>457</v>
      </c>
      <c r="H6" s="1" t="s">
        <v>457</v>
      </c>
      <c r="I6" s="1" t="s">
        <v>457</v>
      </c>
      <c r="J6" s="1" t="s">
        <v>457</v>
      </c>
      <c r="L6" s="75" t="s">
        <v>212</v>
      </c>
      <c r="M6" s="75" t="s">
        <v>212</v>
      </c>
      <c r="N6" s="75" t="s">
        <v>212</v>
      </c>
      <c r="O6" s="75">
        <v>385</v>
      </c>
      <c r="P6" s="75" t="s">
        <v>212</v>
      </c>
      <c r="Q6" s="75" t="s">
        <v>212</v>
      </c>
      <c r="R6" s="75" t="s">
        <v>212</v>
      </c>
      <c r="S6" s="75" t="s">
        <v>212</v>
      </c>
      <c r="T6" s="75" t="s">
        <v>212</v>
      </c>
      <c r="U6" s="16">
        <f t="shared" si="0"/>
        <v>385</v>
      </c>
      <c r="V6" s="1" t="s">
        <v>456</v>
      </c>
    </row>
    <row r="7" spans="1:22" hidden="1" x14ac:dyDescent="0.25">
      <c r="A7" s="1" t="s">
        <v>208</v>
      </c>
      <c r="B7" s="1" t="s">
        <v>635</v>
      </c>
      <c r="C7" s="1" t="s">
        <v>1</v>
      </c>
      <c r="D7" s="1" t="s">
        <v>61</v>
      </c>
      <c r="E7" s="1" t="s">
        <v>459</v>
      </c>
      <c r="F7" s="1" t="s">
        <v>458</v>
      </c>
      <c r="G7" s="1" t="s">
        <v>636</v>
      </c>
      <c r="H7" s="1" t="s">
        <v>636</v>
      </c>
      <c r="I7" s="1" t="s">
        <v>636</v>
      </c>
      <c r="J7" s="1" t="s">
        <v>636</v>
      </c>
      <c r="L7" s="75" t="s">
        <v>212</v>
      </c>
      <c r="M7" s="75" t="s">
        <v>212</v>
      </c>
      <c r="N7" s="75" t="s">
        <v>212</v>
      </c>
      <c r="O7" s="75">
        <v>147</v>
      </c>
      <c r="P7" s="75" t="s">
        <v>212</v>
      </c>
      <c r="Q7" s="75" t="s">
        <v>212</v>
      </c>
      <c r="R7" s="75" t="s">
        <v>212</v>
      </c>
      <c r="S7" s="75" t="s">
        <v>212</v>
      </c>
      <c r="T7" s="75" t="s">
        <v>212</v>
      </c>
      <c r="U7" s="16">
        <f t="shared" si="0"/>
        <v>147</v>
      </c>
      <c r="V7" s="1" t="s">
        <v>456</v>
      </c>
    </row>
    <row r="8" spans="1:22" hidden="1" x14ac:dyDescent="0.25">
      <c r="A8" s="1" t="s">
        <v>208</v>
      </c>
      <c r="B8" s="1" t="s">
        <v>635</v>
      </c>
      <c r="C8" s="1" t="s">
        <v>1</v>
      </c>
      <c r="D8" s="1" t="s">
        <v>61</v>
      </c>
      <c r="E8" s="1" t="s">
        <v>459</v>
      </c>
      <c r="F8" s="1" t="s">
        <v>458</v>
      </c>
      <c r="G8" s="1" t="s">
        <v>637</v>
      </c>
      <c r="H8" s="1" t="s">
        <v>637</v>
      </c>
      <c r="I8" s="1" t="s">
        <v>637</v>
      </c>
      <c r="J8" s="1" t="s">
        <v>637</v>
      </c>
      <c r="L8" s="75" t="s">
        <v>212</v>
      </c>
      <c r="M8" s="75" t="s">
        <v>212</v>
      </c>
      <c r="N8" s="75" t="s">
        <v>212</v>
      </c>
      <c r="O8" s="75">
        <v>289.2</v>
      </c>
      <c r="P8" s="75" t="s">
        <v>212</v>
      </c>
      <c r="Q8" s="75" t="s">
        <v>212</v>
      </c>
      <c r="R8" s="75" t="s">
        <v>212</v>
      </c>
      <c r="S8" s="75" t="s">
        <v>212</v>
      </c>
      <c r="T8" s="75" t="s">
        <v>212</v>
      </c>
      <c r="U8" s="16">
        <f t="shared" si="0"/>
        <v>289.2</v>
      </c>
      <c r="V8" s="1" t="s">
        <v>456</v>
      </c>
    </row>
    <row r="9" spans="1:22" hidden="1" x14ac:dyDescent="0.25">
      <c r="A9" s="1" t="s">
        <v>208</v>
      </c>
      <c r="B9" s="1" t="s">
        <v>638</v>
      </c>
      <c r="C9" s="1" t="s">
        <v>1</v>
      </c>
      <c r="D9" s="1" t="s">
        <v>61</v>
      </c>
      <c r="E9" s="1" t="s">
        <v>459</v>
      </c>
      <c r="F9" s="1" t="s">
        <v>458</v>
      </c>
      <c r="G9" s="1" t="s">
        <v>639</v>
      </c>
      <c r="H9" s="1" t="s">
        <v>639</v>
      </c>
      <c r="I9" s="1" t="s">
        <v>639</v>
      </c>
      <c r="J9" s="1" t="s">
        <v>639</v>
      </c>
      <c r="L9" s="75">
        <v>385</v>
      </c>
      <c r="M9" s="75" t="s">
        <v>212</v>
      </c>
      <c r="N9" s="75" t="s">
        <v>212</v>
      </c>
      <c r="O9" s="75">
        <v>0</v>
      </c>
      <c r="P9" s="75" t="s">
        <v>212</v>
      </c>
      <c r="Q9" s="75" t="s">
        <v>212</v>
      </c>
      <c r="R9" s="75" t="s">
        <v>212</v>
      </c>
      <c r="S9" s="75" t="s">
        <v>212</v>
      </c>
      <c r="T9" s="75" t="s">
        <v>212</v>
      </c>
      <c r="U9" s="16">
        <f>SUM(L9:T9)</f>
        <v>385</v>
      </c>
      <c r="V9" s="1" t="s">
        <v>456</v>
      </c>
    </row>
    <row r="10" spans="1:22" hidden="1" x14ac:dyDescent="0.25">
      <c r="A10" s="1" t="s">
        <v>208</v>
      </c>
      <c r="B10" s="1" t="s">
        <v>635</v>
      </c>
      <c r="C10" s="1" t="s">
        <v>1</v>
      </c>
      <c r="D10" s="1" t="s">
        <v>40</v>
      </c>
      <c r="E10" s="1" t="s">
        <v>467</v>
      </c>
      <c r="F10" s="1" t="s">
        <v>466</v>
      </c>
      <c r="G10" s="1" t="s">
        <v>640</v>
      </c>
      <c r="H10" s="1" t="s">
        <v>640</v>
      </c>
      <c r="I10" s="1" t="s">
        <v>640</v>
      </c>
      <c r="J10" s="1" t="s">
        <v>640</v>
      </c>
      <c r="L10" s="75">
        <v>0</v>
      </c>
      <c r="M10" s="75" t="s">
        <v>212</v>
      </c>
      <c r="N10" s="75" t="s">
        <v>212</v>
      </c>
      <c r="O10" s="75" t="s">
        <v>212</v>
      </c>
      <c r="P10" s="75">
        <v>1057.1099999999999</v>
      </c>
      <c r="Q10" s="75" t="s">
        <v>212</v>
      </c>
      <c r="R10" s="75" t="s">
        <v>212</v>
      </c>
      <c r="S10" s="75" t="s">
        <v>212</v>
      </c>
      <c r="T10" s="75" t="s">
        <v>212</v>
      </c>
      <c r="U10" s="16">
        <f t="shared" ref="U10:U15" si="1">SUM(L10:T10)</f>
        <v>1057.1099999999999</v>
      </c>
      <c r="V10" s="1" t="s">
        <v>456</v>
      </c>
    </row>
    <row r="11" spans="1:22" hidden="1" x14ac:dyDescent="0.25">
      <c r="A11" s="1" t="s">
        <v>651</v>
      </c>
      <c r="B11" s="1" t="s">
        <v>666</v>
      </c>
      <c r="C11" s="1" t="s">
        <v>1</v>
      </c>
      <c r="D11" s="1" t="s">
        <v>61</v>
      </c>
      <c r="E11" s="1" t="s">
        <v>459</v>
      </c>
      <c r="F11" s="1" t="s">
        <v>458</v>
      </c>
      <c r="G11" s="1" t="s">
        <v>661</v>
      </c>
      <c r="H11" s="1" t="s">
        <v>661</v>
      </c>
      <c r="I11" s="1" t="s">
        <v>661</v>
      </c>
      <c r="J11" s="1" t="s">
        <v>661</v>
      </c>
      <c r="L11" s="75">
        <v>0</v>
      </c>
      <c r="M11" s="75" t="s">
        <v>212</v>
      </c>
      <c r="N11" s="75" t="s">
        <v>212</v>
      </c>
      <c r="O11" s="75">
        <v>147</v>
      </c>
      <c r="P11" s="75" t="s">
        <v>212</v>
      </c>
      <c r="Q11" s="75" t="s">
        <v>212</v>
      </c>
      <c r="R11" s="75" t="s">
        <v>212</v>
      </c>
      <c r="S11" s="75" t="s">
        <v>212</v>
      </c>
      <c r="T11" s="75" t="s">
        <v>212</v>
      </c>
      <c r="U11" s="16">
        <f t="shared" si="1"/>
        <v>147</v>
      </c>
      <c r="V11" s="1" t="s">
        <v>456</v>
      </c>
    </row>
    <row r="12" spans="1:22" hidden="1" x14ac:dyDescent="0.25">
      <c r="A12" s="1" t="s">
        <v>651</v>
      </c>
      <c r="B12" s="1" t="s">
        <v>666</v>
      </c>
      <c r="C12" s="1" t="s">
        <v>1</v>
      </c>
      <c r="D12" s="1" t="s">
        <v>61</v>
      </c>
      <c r="E12" s="1" t="s">
        <v>459</v>
      </c>
      <c r="F12" s="1" t="s">
        <v>458</v>
      </c>
      <c r="G12" s="1" t="s">
        <v>662</v>
      </c>
      <c r="H12" s="1" t="s">
        <v>662</v>
      </c>
      <c r="I12" s="1" t="s">
        <v>662</v>
      </c>
      <c r="J12" s="1" t="s">
        <v>662</v>
      </c>
      <c r="L12" s="75">
        <v>0</v>
      </c>
      <c r="M12" s="75" t="s">
        <v>212</v>
      </c>
      <c r="N12" s="75" t="s">
        <v>212</v>
      </c>
      <c r="O12" s="75">
        <v>289.2</v>
      </c>
      <c r="P12" s="75" t="s">
        <v>212</v>
      </c>
      <c r="Q12" s="75" t="s">
        <v>212</v>
      </c>
      <c r="R12" s="75" t="s">
        <v>212</v>
      </c>
      <c r="S12" s="75" t="s">
        <v>212</v>
      </c>
      <c r="T12" s="75" t="s">
        <v>212</v>
      </c>
      <c r="U12" s="16">
        <f t="shared" si="1"/>
        <v>289.2</v>
      </c>
      <c r="V12" s="1" t="s">
        <v>456</v>
      </c>
    </row>
    <row r="13" spans="1:22" hidden="1" x14ac:dyDescent="0.25">
      <c r="A13" s="1" t="s">
        <v>651</v>
      </c>
      <c r="B13" s="1" t="s">
        <v>667</v>
      </c>
      <c r="C13" s="1" t="s">
        <v>1</v>
      </c>
      <c r="D13" s="1" t="s">
        <v>61</v>
      </c>
      <c r="E13" s="1" t="s">
        <v>459</v>
      </c>
      <c r="F13" s="1" t="s">
        <v>458</v>
      </c>
      <c r="G13" s="1" t="s">
        <v>663</v>
      </c>
      <c r="H13" s="1" t="s">
        <v>663</v>
      </c>
      <c r="I13" s="1" t="s">
        <v>663</v>
      </c>
      <c r="J13" s="1" t="s">
        <v>663</v>
      </c>
      <c r="L13" s="75">
        <v>385</v>
      </c>
      <c r="M13" s="75" t="s">
        <v>212</v>
      </c>
      <c r="N13" s="75" t="s">
        <v>212</v>
      </c>
      <c r="O13" s="75">
        <v>0</v>
      </c>
      <c r="P13" s="75" t="s">
        <v>212</v>
      </c>
      <c r="Q13" s="75" t="s">
        <v>212</v>
      </c>
      <c r="R13" s="75" t="s">
        <v>212</v>
      </c>
      <c r="S13" s="75" t="s">
        <v>212</v>
      </c>
      <c r="T13" s="75" t="s">
        <v>212</v>
      </c>
      <c r="U13" s="16">
        <f t="shared" si="1"/>
        <v>385</v>
      </c>
      <c r="V13" s="1" t="s">
        <v>456</v>
      </c>
    </row>
    <row r="14" spans="1:22" hidden="1" x14ac:dyDescent="0.25">
      <c r="A14" s="1" t="s">
        <v>651</v>
      </c>
      <c r="B14" s="1" t="s">
        <v>668</v>
      </c>
      <c r="C14" s="1" t="s">
        <v>1</v>
      </c>
      <c r="D14" s="1" t="s">
        <v>61</v>
      </c>
      <c r="E14" s="1" t="s">
        <v>459</v>
      </c>
      <c r="F14" s="1" t="s">
        <v>458</v>
      </c>
      <c r="G14" s="1" t="s">
        <v>664</v>
      </c>
      <c r="H14" s="1" t="s">
        <v>664</v>
      </c>
      <c r="I14" s="1" t="s">
        <v>664</v>
      </c>
      <c r="J14" s="1" t="s">
        <v>664</v>
      </c>
      <c r="L14" s="75">
        <v>0</v>
      </c>
      <c r="M14" s="75" t="s">
        <v>212</v>
      </c>
      <c r="N14" s="75" t="s">
        <v>212</v>
      </c>
      <c r="O14" s="75">
        <v>183.75</v>
      </c>
      <c r="P14" s="75" t="s">
        <v>212</v>
      </c>
      <c r="Q14" s="75" t="s">
        <v>212</v>
      </c>
      <c r="R14" s="75" t="s">
        <v>212</v>
      </c>
      <c r="S14" s="75" t="s">
        <v>212</v>
      </c>
      <c r="T14" s="75" t="s">
        <v>212</v>
      </c>
      <c r="U14" s="16">
        <f t="shared" si="1"/>
        <v>183.75</v>
      </c>
      <c r="V14" s="1" t="s">
        <v>456</v>
      </c>
    </row>
    <row r="15" spans="1:22" hidden="1" x14ac:dyDescent="0.25">
      <c r="A15" s="1" t="s">
        <v>651</v>
      </c>
      <c r="B15" s="1" t="s">
        <v>668</v>
      </c>
      <c r="C15" s="1" t="s">
        <v>1</v>
      </c>
      <c r="D15" s="1" t="s">
        <v>61</v>
      </c>
      <c r="E15" s="1" t="s">
        <v>459</v>
      </c>
      <c r="F15" s="1" t="s">
        <v>458</v>
      </c>
      <c r="G15" s="1" t="s">
        <v>665</v>
      </c>
      <c r="H15" s="1" t="s">
        <v>665</v>
      </c>
      <c r="I15" s="1" t="s">
        <v>665</v>
      </c>
      <c r="J15" s="1" t="s">
        <v>665</v>
      </c>
      <c r="L15" s="75">
        <v>0</v>
      </c>
      <c r="M15" s="75" t="s">
        <v>212</v>
      </c>
      <c r="N15" s="75" t="s">
        <v>212</v>
      </c>
      <c r="O15" s="75">
        <v>183.75</v>
      </c>
      <c r="P15" s="75" t="s">
        <v>212</v>
      </c>
      <c r="Q15" s="75" t="s">
        <v>212</v>
      </c>
      <c r="R15" s="75" t="s">
        <v>212</v>
      </c>
      <c r="S15" s="75" t="s">
        <v>212</v>
      </c>
      <c r="T15" s="75" t="s">
        <v>212</v>
      </c>
      <c r="U15" s="16">
        <f t="shared" si="1"/>
        <v>183.75</v>
      </c>
      <c r="V15" s="1" t="s">
        <v>456</v>
      </c>
    </row>
    <row r="16" spans="1:22" hidden="1" x14ac:dyDescent="0.25">
      <c r="A16" s="1" t="s">
        <v>651</v>
      </c>
      <c r="B16" s="1" t="s">
        <v>666</v>
      </c>
      <c r="C16" s="1" t="s">
        <v>1</v>
      </c>
      <c r="D16" s="1" t="s">
        <v>40</v>
      </c>
      <c r="E16" s="1" t="s">
        <v>467</v>
      </c>
      <c r="F16" s="1" t="s">
        <v>466</v>
      </c>
      <c r="G16" s="1" t="s">
        <v>669</v>
      </c>
      <c r="H16" s="1" t="s">
        <v>669</v>
      </c>
      <c r="I16" s="1" t="s">
        <v>669</v>
      </c>
      <c r="J16" s="1" t="s">
        <v>669</v>
      </c>
      <c r="L16" s="75">
        <v>0</v>
      </c>
      <c r="M16" s="75" t="s">
        <v>212</v>
      </c>
      <c r="N16" s="75" t="s">
        <v>212</v>
      </c>
      <c r="O16" s="75" t="s">
        <v>212</v>
      </c>
      <c r="P16" s="75">
        <v>1057.1099999999999</v>
      </c>
      <c r="Q16" s="75" t="s">
        <v>212</v>
      </c>
      <c r="R16" s="75" t="s">
        <v>212</v>
      </c>
      <c r="S16" s="75" t="s">
        <v>212</v>
      </c>
      <c r="T16" s="75" t="s">
        <v>212</v>
      </c>
      <c r="U16" s="16">
        <f t="shared" ref="U16:U17" si="2">SUM(L16:T16)</f>
        <v>1057.1099999999999</v>
      </c>
      <c r="V16" s="1" t="s">
        <v>456</v>
      </c>
    </row>
    <row r="17" spans="1:22" x14ac:dyDescent="0.25">
      <c r="A17" s="1" t="s">
        <v>843</v>
      </c>
      <c r="B17" s="1" t="s">
        <v>1004</v>
      </c>
      <c r="C17" s="1" t="s">
        <v>1</v>
      </c>
      <c r="D17" s="1" t="s">
        <v>61</v>
      </c>
      <c r="E17" s="1" t="s">
        <v>459</v>
      </c>
      <c r="F17" s="1" t="s">
        <v>458</v>
      </c>
      <c r="G17" s="1" t="s">
        <v>1005</v>
      </c>
      <c r="H17" s="1" t="s">
        <v>1005</v>
      </c>
      <c r="I17" s="1" t="s">
        <v>1005</v>
      </c>
      <c r="J17" s="1" t="s">
        <v>1005</v>
      </c>
      <c r="L17" s="76">
        <v>0</v>
      </c>
      <c r="M17" s="76" t="s">
        <v>212</v>
      </c>
      <c r="N17" s="76" t="s">
        <v>212</v>
      </c>
      <c r="O17" s="76">
        <v>289.2</v>
      </c>
      <c r="P17" s="76" t="s">
        <v>212</v>
      </c>
      <c r="Q17" s="75" t="s">
        <v>212</v>
      </c>
      <c r="R17" s="75" t="s">
        <v>212</v>
      </c>
      <c r="S17" s="75" t="s">
        <v>212</v>
      </c>
      <c r="T17" s="75" t="s">
        <v>212</v>
      </c>
      <c r="U17" s="16">
        <f t="shared" si="2"/>
        <v>289.2</v>
      </c>
      <c r="V17" s="1" t="s">
        <v>456</v>
      </c>
    </row>
    <row r="18" spans="1:22" hidden="1" x14ac:dyDescent="0.25">
      <c r="A18" s="1" t="s">
        <v>843</v>
      </c>
      <c r="B18" s="1" t="s">
        <v>1004</v>
      </c>
      <c r="C18" s="1" t="s">
        <v>1</v>
      </c>
      <c r="D18" s="1" t="s">
        <v>61</v>
      </c>
      <c r="E18" s="1" t="s">
        <v>459</v>
      </c>
      <c r="F18" s="1" t="s">
        <v>458</v>
      </c>
      <c r="G18" s="1" t="s">
        <v>1006</v>
      </c>
      <c r="H18" s="1" t="s">
        <v>1006</v>
      </c>
      <c r="I18" s="1" t="s">
        <v>1006</v>
      </c>
      <c r="J18" s="1" t="s">
        <v>1006</v>
      </c>
      <c r="L18" s="76">
        <v>0</v>
      </c>
      <c r="M18" s="76" t="s">
        <v>212</v>
      </c>
      <c r="N18" s="76" t="s">
        <v>212</v>
      </c>
      <c r="O18" s="76">
        <v>147</v>
      </c>
      <c r="P18" s="76" t="s">
        <v>212</v>
      </c>
      <c r="Q18" s="75" t="s">
        <v>212</v>
      </c>
      <c r="R18" s="75" t="s">
        <v>212</v>
      </c>
      <c r="S18" s="75" t="s">
        <v>212</v>
      </c>
      <c r="T18" s="75" t="s">
        <v>212</v>
      </c>
      <c r="U18" s="16">
        <f t="shared" ref="U18:U23" si="3">SUM(L18:T18)</f>
        <v>147</v>
      </c>
      <c r="V18" s="1" t="s">
        <v>456</v>
      </c>
    </row>
    <row r="19" spans="1:22" hidden="1" x14ac:dyDescent="0.25">
      <c r="A19" s="1" t="s">
        <v>843</v>
      </c>
      <c r="B19" s="1" t="s">
        <v>1004</v>
      </c>
      <c r="C19" s="1" t="s">
        <v>1</v>
      </c>
      <c r="D19" s="1" t="s">
        <v>61</v>
      </c>
      <c r="E19" s="1" t="s">
        <v>459</v>
      </c>
      <c r="F19" s="1" t="s">
        <v>458</v>
      </c>
      <c r="G19" s="1" t="s">
        <v>1007</v>
      </c>
      <c r="H19" s="1" t="s">
        <v>1007</v>
      </c>
      <c r="I19" s="1" t="s">
        <v>1007</v>
      </c>
      <c r="J19" s="1" t="s">
        <v>1007</v>
      </c>
      <c r="L19" s="76">
        <v>0</v>
      </c>
      <c r="M19" s="76" t="s">
        <v>212</v>
      </c>
      <c r="N19" s="76" t="s">
        <v>212</v>
      </c>
      <c r="O19" s="76">
        <v>183.75</v>
      </c>
      <c r="P19" s="76" t="s">
        <v>212</v>
      </c>
      <c r="Q19" s="75" t="s">
        <v>212</v>
      </c>
      <c r="R19" s="75" t="s">
        <v>212</v>
      </c>
      <c r="S19" s="75" t="s">
        <v>212</v>
      </c>
      <c r="T19" s="75" t="s">
        <v>212</v>
      </c>
      <c r="U19" s="16">
        <f t="shared" si="3"/>
        <v>183.75</v>
      </c>
      <c r="V19" s="1" t="s">
        <v>456</v>
      </c>
    </row>
    <row r="20" spans="1:22" x14ac:dyDescent="0.25">
      <c r="A20" s="1" t="s">
        <v>843</v>
      </c>
      <c r="B20" s="1" t="s">
        <v>1011</v>
      </c>
      <c r="C20" s="1" t="s">
        <v>1</v>
      </c>
      <c r="D20" s="1" t="s">
        <v>61</v>
      </c>
      <c r="E20" s="1" t="s">
        <v>459</v>
      </c>
      <c r="F20" s="1" t="s">
        <v>458</v>
      </c>
      <c r="G20" s="1" t="s">
        <v>1008</v>
      </c>
      <c r="H20" s="1" t="s">
        <v>1008</v>
      </c>
      <c r="I20" s="1" t="s">
        <v>1008</v>
      </c>
      <c r="J20" s="1" t="s">
        <v>1008</v>
      </c>
      <c r="L20" s="76">
        <v>385</v>
      </c>
      <c r="M20" s="76" t="s">
        <v>212</v>
      </c>
      <c r="N20" s="76" t="s">
        <v>212</v>
      </c>
      <c r="O20" s="76">
        <v>0</v>
      </c>
      <c r="P20" s="76" t="s">
        <v>212</v>
      </c>
      <c r="Q20" s="75" t="s">
        <v>212</v>
      </c>
      <c r="R20" s="75" t="s">
        <v>212</v>
      </c>
      <c r="S20" s="75" t="s">
        <v>212</v>
      </c>
      <c r="T20" s="75" t="s">
        <v>212</v>
      </c>
      <c r="U20" s="16">
        <f t="shared" si="3"/>
        <v>385</v>
      </c>
      <c r="V20" s="1" t="s">
        <v>456</v>
      </c>
    </row>
    <row r="21" spans="1:22" hidden="1" x14ac:dyDescent="0.25">
      <c r="A21" s="1" t="s">
        <v>843</v>
      </c>
      <c r="B21" s="1" t="s">
        <v>1012</v>
      </c>
      <c r="C21" s="1" t="s">
        <v>1</v>
      </c>
      <c r="D21" s="1" t="s">
        <v>61</v>
      </c>
      <c r="E21" s="1" t="s">
        <v>459</v>
      </c>
      <c r="F21" s="1" t="s">
        <v>458</v>
      </c>
      <c r="G21" s="1" t="s">
        <v>1009</v>
      </c>
      <c r="H21" s="1" t="s">
        <v>1009</v>
      </c>
      <c r="I21" s="1" t="s">
        <v>1009</v>
      </c>
      <c r="J21" s="1" t="s">
        <v>1009</v>
      </c>
      <c r="L21" s="76">
        <v>0</v>
      </c>
      <c r="M21" s="76" t="s">
        <v>212</v>
      </c>
      <c r="N21" s="76" t="s">
        <v>212</v>
      </c>
      <c r="O21" s="76">
        <v>0</v>
      </c>
      <c r="P21" s="76" t="s">
        <v>212</v>
      </c>
      <c r="Q21" s="75" t="s">
        <v>212</v>
      </c>
      <c r="R21" s="75" t="s">
        <v>212</v>
      </c>
      <c r="S21" s="75" t="s">
        <v>212</v>
      </c>
      <c r="T21" s="75" t="s">
        <v>212</v>
      </c>
      <c r="U21" s="16">
        <f t="shared" si="3"/>
        <v>0</v>
      </c>
      <c r="V21" s="1" t="s">
        <v>456</v>
      </c>
    </row>
    <row r="22" spans="1:22" x14ac:dyDescent="0.25">
      <c r="A22" s="1" t="s">
        <v>843</v>
      </c>
      <c r="B22" s="1" t="s">
        <v>1013</v>
      </c>
      <c r="C22" s="1" t="s">
        <v>1</v>
      </c>
      <c r="D22" s="1" t="s">
        <v>61</v>
      </c>
      <c r="E22" s="1" t="s">
        <v>459</v>
      </c>
      <c r="F22" s="1" t="s">
        <v>458</v>
      </c>
      <c r="G22" s="1" t="s">
        <v>1010</v>
      </c>
      <c r="H22" s="1" t="s">
        <v>1010</v>
      </c>
      <c r="I22" s="1" t="s">
        <v>1010</v>
      </c>
      <c r="J22" s="1" t="s">
        <v>1010</v>
      </c>
      <c r="L22" s="76">
        <v>0</v>
      </c>
      <c r="M22" s="76" t="s">
        <v>212</v>
      </c>
      <c r="N22" s="76" t="s">
        <v>212</v>
      </c>
      <c r="O22" s="76">
        <v>367.5</v>
      </c>
      <c r="P22" s="76" t="s">
        <v>212</v>
      </c>
      <c r="Q22" s="75" t="s">
        <v>212</v>
      </c>
      <c r="R22" s="75" t="s">
        <v>212</v>
      </c>
      <c r="S22" s="75" t="s">
        <v>212</v>
      </c>
      <c r="T22" s="75" t="s">
        <v>212</v>
      </c>
      <c r="U22" s="16">
        <f t="shared" si="3"/>
        <v>367.5</v>
      </c>
      <c r="V22" s="1" t="s">
        <v>456</v>
      </c>
    </row>
    <row r="23" spans="1:22" x14ac:dyDescent="0.25">
      <c r="A23" s="1" t="s">
        <v>843</v>
      </c>
      <c r="B23" s="1" t="s">
        <v>1004</v>
      </c>
      <c r="C23" s="1" t="s">
        <v>1</v>
      </c>
      <c r="D23" s="1" t="s">
        <v>40</v>
      </c>
      <c r="E23" s="1" t="s">
        <v>467</v>
      </c>
      <c r="F23" s="1" t="s">
        <v>466</v>
      </c>
      <c r="G23" s="1" t="s">
        <v>1014</v>
      </c>
      <c r="H23" s="1" t="s">
        <v>1014</v>
      </c>
      <c r="I23" s="1" t="s">
        <v>1014</v>
      </c>
      <c r="J23" s="1" t="s">
        <v>1014</v>
      </c>
      <c r="L23" s="76">
        <v>0</v>
      </c>
      <c r="M23" s="76" t="s">
        <v>212</v>
      </c>
      <c r="N23" s="76" t="s">
        <v>212</v>
      </c>
      <c r="O23" s="76" t="s">
        <v>212</v>
      </c>
      <c r="P23" s="76">
        <v>1057.1099999999999</v>
      </c>
      <c r="Q23" s="75" t="s">
        <v>212</v>
      </c>
      <c r="R23" s="75" t="s">
        <v>212</v>
      </c>
      <c r="S23" s="75" t="s">
        <v>212</v>
      </c>
      <c r="T23" s="75" t="s">
        <v>212</v>
      </c>
      <c r="U23" s="16">
        <f t="shared" si="3"/>
        <v>1057.1099999999999</v>
      </c>
      <c r="V23" s="1" t="s">
        <v>456</v>
      </c>
    </row>
    <row r="24" spans="1:22" hidden="1" x14ac:dyDescent="0.25">
      <c r="A24" s="1" t="s">
        <v>1145</v>
      </c>
      <c r="B24" s="1" t="s">
        <v>1374</v>
      </c>
      <c r="C24" s="1" t="s">
        <v>1</v>
      </c>
      <c r="D24" s="1" t="s">
        <v>40</v>
      </c>
      <c r="E24" s="1" t="s">
        <v>467</v>
      </c>
      <c r="F24" s="1" t="s">
        <v>466</v>
      </c>
      <c r="G24" s="1" t="s">
        <v>1375</v>
      </c>
      <c r="H24" s="1" t="s">
        <v>1375</v>
      </c>
      <c r="I24" s="1" t="s">
        <v>1375</v>
      </c>
      <c r="J24" s="1" t="s">
        <v>1375</v>
      </c>
      <c r="L24" s="76">
        <v>0</v>
      </c>
      <c r="M24" s="76" t="s">
        <v>212</v>
      </c>
      <c r="N24" s="76" t="s">
        <v>212</v>
      </c>
      <c r="O24" s="76" t="s">
        <v>212</v>
      </c>
      <c r="P24" s="76" t="s">
        <v>212</v>
      </c>
      <c r="Q24" s="75" t="s">
        <v>212</v>
      </c>
      <c r="R24" s="75">
        <v>1057.1099999999999</v>
      </c>
      <c r="S24" s="75" t="s">
        <v>212</v>
      </c>
      <c r="T24" s="75" t="s">
        <v>212</v>
      </c>
      <c r="U24" s="16">
        <f t="shared" ref="U24" si="4">SUM(L24:T24)</f>
        <v>1057.1099999999999</v>
      </c>
      <c r="V24" s="1" t="s">
        <v>456</v>
      </c>
    </row>
    <row r="25" spans="1:22" hidden="1" x14ac:dyDescent="0.25">
      <c r="A25" s="1" t="s">
        <v>1145</v>
      </c>
      <c r="B25" s="1" t="s">
        <v>1374</v>
      </c>
      <c r="C25" s="1" t="s">
        <v>1</v>
      </c>
      <c r="D25" s="1" t="s">
        <v>61</v>
      </c>
      <c r="E25" s="1" t="s">
        <v>459</v>
      </c>
      <c r="F25" s="1" t="s">
        <v>458</v>
      </c>
      <c r="G25" s="1" t="s">
        <v>1376</v>
      </c>
      <c r="H25" s="1" t="s">
        <v>1376</v>
      </c>
      <c r="I25" s="1" t="s">
        <v>1376</v>
      </c>
      <c r="J25" s="1" t="s">
        <v>1376</v>
      </c>
      <c r="L25" s="76">
        <v>0</v>
      </c>
      <c r="M25" s="76" t="s">
        <v>212</v>
      </c>
      <c r="N25" s="76" t="s">
        <v>212</v>
      </c>
      <c r="O25" s="76">
        <v>0</v>
      </c>
      <c r="P25" s="76" t="s">
        <v>212</v>
      </c>
      <c r="Q25" s="75" t="s">
        <v>212</v>
      </c>
      <c r="R25" s="75" t="s">
        <v>212</v>
      </c>
      <c r="S25" s="75" t="s">
        <v>212</v>
      </c>
      <c r="T25" s="75" t="s">
        <v>212</v>
      </c>
      <c r="U25" s="16">
        <f t="shared" ref="U25:U28" si="5">SUM(L25:T25)</f>
        <v>0</v>
      </c>
      <c r="V25" s="1" t="s">
        <v>456</v>
      </c>
    </row>
    <row r="26" spans="1:22" hidden="1" x14ac:dyDescent="0.25">
      <c r="A26" s="1" t="s">
        <v>1145</v>
      </c>
      <c r="B26" s="1" t="s">
        <v>1374</v>
      </c>
      <c r="C26" s="1" t="s">
        <v>1</v>
      </c>
      <c r="D26" s="1" t="s">
        <v>61</v>
      </c>
      <c r="E26" s="1" t="s">
        <v>459</v>
      </c>
      <c r="F26" s="1" t="s">
        <v>458</v>
      </c>
      <c r="G26" s="1" t="s">
        <v>1377</v>
      </c>
      <c r="H26" s="1" t="s">
        <v>1377</v>
      </c>
      <c r="I26" s="1" t="s">
        <v>1377</v>
      </c>
      <c r="J26" s="1" t="s">
        <v>1377</v>
      </c>
      <c r="L26" s="76">
        <v>0</v>
      </c>
      <c r="M26" s="76" t="s">
        <v>212</v>
      </c>
      <c r="N26" s="76" t="s">
        <v>212</v>
      </c>
      <c r="O26" s="76">
        <v>172</v>
      </c>
      <c r="P26" s="76" t="s">
        <v>212</v>
      </c>
      <c r="Q26" s="75" t="s">
        <v>212</v>
      </c>
      <c r="R26" s="75" t="s">
        <v>212</v>
      </c>
      <c r="S26" s="75" t="s">
        <v>212</v>
      </c>
      <c r="T26" s="75" t="s">
        <v>212</v>
      </c>
      <c r="U26" s="16">
        <f t="shared" si="5"/>
        <v>172</v>
      </c>
      <c r="V26" s="1" t="s">
        <v>456</v>
      </c>
    </row>
    <row r="27" spans="1:22" hidden="1" x14ac:dyDescent="0.25">
      <c r="A27" s="1" t="s">
        <v>1145</v>
      </c>
      <c r="B27" s="1" t="s">
        <v>1374</v>
      </c>
      <c r="C27" s="1" t="s">
        <v>1</v>
      </c>
      <c r="D27" s="1" t="s">
        <v>61</v>
      </c>
      <c r="E27" s="1" t="s">
        <v>459</v>
      </c>
      <c r="F27" s="1" t="s">
        <v>458</v>
      </c>
      <c r="G27" s="1" t="s">
        <v>1378</v>
      </c>
      <c r="H27" s="1" t="s">
        <v>1378</v>
      </c>
      <c r="I27" s="1" t="s">
        <v>1378</v>
      </c>
      <c r="J27" s="1" t="s">
        <v>1378</v>
      </c>
      <c r="L27" s="76">
        <v>0</v>
      </c>
      <c r="M27" s="76" t="s">
        <v>212</v>
      </c>
      <c r="N27" s="76" t="s">
        <v>212</v>
      </c>
      <c r="O27" s="76">
        <v>289.2</v>
      </c>
      <c r="P27" s="76" t="s">
        <v>212</v>
      </c>
      <c r="Q27" s="75" t="s">
        <v>212</v>
      </c>
      <c r="R27" s="75" t="s">
        <v>212</v>
      </c>
      <c r="S27" s="75" t="s">
        <v>212</v>
      </c>
      <c r="T27" s="75" t="s">
        <v>212</v>
      </c>
      <c r="U27" s="16">
        <f t="shared" si="5"/>
        <v>289.2</v>
      </c>
      <c r="V27" s="1" t="s">
        <v>456</v>
      </c>
    </row>
    <row r="28" spans="1:22" hidden="1" x14ac:dyDescent="0.25">
      <c r="A28" s="1" t="s">
        <v>1145</v>
      </c>
      <c r="B28" s="1" t="s">
        <v>1380</v>
      </c>
      <c r="C28" s="1" t="s">
        <v>1</v>
      </c>
      <c r="D28" s="1" t="s">
        <v>61</v>
      </c>
      <c r="E28" s="1" t="s">
        <v>459</v>
      </c>
      <c r="F28" s="1" t="s">
        <v>458</v>
      </c>
      <c r="G28" s="1" t="s">
        <v>1379</v>
      </c>
      <c r="H28" s="1" t="s">
        <v>1379</v>
      </c>
      <c r="I28" s="1" t="s">
        <v>1379</v>
      </c>
      <c r="J28" s="1" t="s">
        <v>1379</v>
      </c>
      <c r="L28" s="76">
        <v>0</v>
      </c>
      <c r="M28" s="76" t="s">
        <v>212</v>
      </c>
      <c r="N28" s="76" t="s">
        <v>212</v>
      </c>
      <c r="O28" s="76">
        <v>367.5</v>
      </c>
      <c r="P28" s="76" t="s">
        <v>212</v>
      </c>
      <c r="Q28" s="75" t="s">
        <v>212</v>
      </c>
      <c r="R28" s="75" t="s">
        <v>212</v>
      </c>
      <c r="S28" s="75" t="s">
        <v>212</v>
      </c>
      <c r="T28" s="75" t="s">
        <v>212</v>
      </c>
      <c r="U28" s="16">
        <f t="shared" si="5"/>
        <v>367.5</v>
      </c>
      <c r="V28" s="1" t="s">
        <v>456</v>
      </c>
    </row>
    <row r="29" spans="1:22" hidden="1" x14ac:dyDescent="0.25">
      <c r="A29" s="1" t="s">
        <v>1145</v>
      </c>
      <c r="B29" s="1" t="s">
        <v>1380</v>
      </c>
      <c r="C29" s="1" t="s">
        <v>1</v>
      </c>
      <c r="D29" s="1" t="s">
        <v>61</v>
      </c>
      <c r="E29" s="1" t="s">
        <v>459</v>
      </c>
      <c r="F29" s="1" t="s">
        <v>458</v>
      </c>
      <c r="G29" s="1" t="s">
        <v>1247</v>
      </c>
      <c r="H29" s="1" t="s">
        <v>1247</v>
      </c>
      <c r="I29" s="1" t="s">
        <v>1247</v>
      </c>
      <c r="J29" s="1" t="s">
        <v>1247</v>
      </c>
      <c r="L29" s="76">
        <v>385</v>
      </c>
      <c r="M29" s="76" t="s">
        <v>212</v>
      </c>
      <c r="N29" s="76" t="s">
        <v>212</v>
      </c>
      <c r="O29" s="76">
        <v>0</v>
      </c>
      <c r="P29" s="76" t="s">
        <v>212</v>
      </c>
      <c r="Q29" s="75" t="s">
        <v>212</v>
      </c>
      <c r="R29" s="75" t="s">
        <v>212</v>
      </c>
      <c r="S29" s="75" t="s">
        <v>212</v>
      </c>
      <c r="T29" s="75" t="s">
        <v>212</v>
      </c>
      <c r="U29" s="16">
        <f t="shared" ref="U29" si="6">SUM(L29:T29)</f>
        <v>385</v>
      </c>
      <c r="V29" s="1" t="s">
        <v>456</v>
      </c>
    </row>
    <row r="30" spans="1:22" x14ac:dyDescent="0.25">
      <c r="A30" s="1"/>
      <c r="C30" s="1"/>
      <c r="D30" s="1"/>
      <c r="E30" s="1"/>
      <c r="F30" s="1"/>
      <c r="U30" s="16"/>
      <c r="V30" s="1"/>
    </row>
    <row r="31" spans="1:22" x14ac:dyDescent="0.25">
      <c r="A31" s="1"/>
      <c r="C31" s="1"/>
      <c r="D31" s="1"/>
      <c r="E31" s="1"/>
      <c r="F31" s="1"/>
      <c r="U31" s="16"/>
      <c r="V31" s="1"/>
    </row>
    <row r="32" spans="1:22" x14ac:dyDescent="0.25">
      <c r="A32" s="1"/>
      <c r="C32" s="1"/>
      <c r="D32" s="1"/>
      <c r="E32" s="1"/>
      <c r="F32" s="1"/>
      <c r="U32" s="16"/>
      <c r="V32" s="1"/>
    </row>
    <row r="33" spans="1:22" x14ac:dyDescent="0.25">
      <c r="A33" s="1"/>
      <c r="C33" s="1"/>
      <c r="D33" s="1"/>
      <c r="E33" s="1"/>
      <c r="F33" s="1"/>
      <c r="U33" s="16"/>
      <c r="V33" s="1"/>
    </row>
    <row r="34" spans="1:22" x14ac:dyDescent="0.25">
      <c r="A34" s="1"/>
      <c r="C34" s="1"/>
      <c r="D34" s="1"/>
      <c r="E34" s="1"/>
      <c r="F34" s="1"/>
      <c r="U34" s="16"/>
      <c r="V34" s="1"/>
    </row>
    <row r="35" spans="1:22" x14ac:dyDescent="0.25">
      <c r="A35" s="1"/>
      <c r="C35" s="1"/>
      <c r="D35" s="1"/>
      <c r="E35" s="1"/>
      <c r="F35" s="1"/>
      <c r="U35" s="16"/>
      <c r="V35" s="1"/>
    </row>
    <row r="36" spans="1:22" x14ac:dyDescent="0.25">
      <c r="A36" s="1"/>
      <c r="C36" s="1"/>
      <c r="D36" s="1"/>
      <c r="E36" s="1"/>
      <c r="F36" s="1"/>
      <c r="U36" s="16"/>
      <c r="V36" s="1"/>
    </row>
    <row r="37" spans="1:22" x14ac:dyDescent="0.25">
      <c r="A37" s="1"/>
      <c r="C37" s="1"/>
      <c r="D37" s="1"/>
      <c r="E37" s="1"/>
      <c r="F37" s="1"/>
      <c r="U37" s="16"/>
      <c r="V37" s="1"/>
    </row>
    <row r="38" spans="1:22" x14ac:dyDescent="0.25">
      <c r="A38" s="1"/>
      <c r="C38" s="1"/>
      <c r="D38" s="1"/>
      <c r="E38" s="1"/>
      <c r="F38" s="1"/>
      <c r="U38" s="16"/>
      <c r="V38" s="1"/>
    </row>
    <row r="39" spans="1:22" x14ac:dyDescent="0.25">
      <c r="A39" s="1"/>
      <c r="C39" s="1"/>
      <c r="D39" s="1"/>
      <c r="E39" s="1"/>
      <c r="F39" s="1"/>
      <c r="U39" s="16"/>
      <c r="V39" s="1"/>
    </row>
    <row r="40" spans="1:22" x14ac:dyDescent="0.25">
      <c r="A40" s="1"/>
      <c r="C40" s="1"/>
      <c r="D40" s="1"/>
      <c r="E40" s="1"/>
      <c r="F40" s="1"/>
      <c r="U40" s="16"/>
      <c r="V40" s="1"/>
    </row>
    <row r="41" spans="1:22" x14ac:dyDescent="0.25">
      <c r="A41" s="1"/>
      <c r="C41" s="1"/>
      <c r="D41" s="1"/>
      <c r="E41" s="1"/>
      <c r="F41" s="1"/>
      <c r="U41" s="16"/>
      <c r="V41" s="1"/>
    </row>
    <row r="42" spans="1:22" x14ac:dyDescent="0.25">
      <c r="A42" s="1"/>
      <c r="C42" s="1"/>
      <c r="D42" s="1"/>
      <c r="E42" s="1"/>
      <c r="F42" s="1"/>
      <c r="U42" s="16"/>
      <c r="V42" s="1"/>
    </row>
    <row r="43" spans="1:22" x14ac:dyDescent="0.25">
      <c r="A43" s="1"/>
      <c r="C43" s="1"/>
      <c r="D43" s="1"/>
      <c r="E43" s="1"/>
      <c r="F43" s="1"/>
      <c r="U43" s="16"/>
      <c r="V43" s="1"/>
    </row>
    <row r="44" spans="1:22" x14ac:dyDescent="0.25">
      <c r="A44" s="1"/>
      <c r="C44" s="1"/>
      <c r="D44" s="1"/>
      <c r="E44" s="1"/>
      <c r="F44" s="1"/>
      <c r="U44" s="16"/>
      <c r="V44" s="1"/>
    </row>
    <row r="45" spans="1:22" x14ac:dyDescent="0.25">
      <c r="A45" s="1"/>
      <c r="C45" s="1"/>
      <c r="D45" s="1"/>
      <c r="E45" s="1"/>
      <c r="F45" s="1"/>
      <c r="U45" s="16"/>
      <c r="V45" s="1"/>
    </row>
    <row r="46" spans="1:22" x14ac:dyDescent="0.25">
      <c r="A46" s="1"/>
      <c r="C46" s="1"/>
      <c r="D46" s="1"/>
      <c r="E46" s="1"/>
      <c r="F46" s="1"/>
      <c r="U46" s="16"/>
      <c r="V46" s="1"/>
    </row>
    <row r="47" spans="1:22" x14ac:dyDescent="0.25">
      <c r="A47" s="1"/>
      <c r="C47" s="1"/>
      <c r="D47" s="1"/>
      <c r="E47" s="1"/>
      <c r="F47" s="1"/>
      <c r="U47" s="16"/>
      <c r="V47" s="1"/>
    </row>
    <row r="48" spans="1:22" x14ac:dyDescent="0.25">
      <c r="A48" s="1"/>
      <c r="C48" s="1"/>
      <c r="D48" s="1"/>
      <c r="E48" s="1"/>
      <c r="F48" s="1"/>
      <c r="U48" s="16"/>
      <c r="V48" s="1"/>
    </row>
    <row r="49" spans="1:22" x14ac:dyDescent="0.25">
      <c r="A49" s="1"/>
      <c r="C49" s="1"/>
      <c r="D49" s="1"/>
      <c r="E49" s="1"/>
      <c r="F49" s="1"/>
      <c r="U49" s="16"/>
      <c r="V49" s="1"/>
    </row>
    <row r="50" spans="1:22" x14ac:dyDescent="0.25">
      <c r="A50" s="1"/>
      <c r="C50" s="1"/>
      <c r="D50" s="1"/>
      <c r="E50" s="1"/>
      <c r="F50" s="1"/>
      <c r="U50" s="16"/>
      <c r="V50" s="1"/>
    </row>
    <row r="51" spans="1:22" x14ac:dyDescent="0.25">
      <c r="A51" s="1"/>
      <c r="C51" s="1"/>
      <c r="D51" s="1"/>
      <c r="E51" s="1"/>
      <c r="F51" s="1"/>
      <c r="U51" s="16"/>
      <c r="V51" s="1"/>
    </row>
    <row r="52" spans="1:22" x14ac:dyDescent="0.25">
      <c r="A52" s="1"/>
      <c r="C52" s="1"/>
      <c r="D52" s="1"/>
      <c r="E52" s="1"/>
      <c r="F52" s="1"/>
      <c r="U52" s="16"/>
      <c r="V52" s="1"/>
    </row>
    <row r="53" spans="1:22" x14ac:dyDescent="0.25">
      <c r="A53" s="1"/>
      <c r="C53" s="1"/>
      <c r="D53" s="1"/>
      <c r="E53" s="1"/>
      <c r="F53" s="1"/>
      <c r="U53" s="16"/>
      <c r="V53" s="1"/>
    </row>
    <row r="54" spans="1:22" x14ac:dyDescent="0.25">
      <c r="A54" s="1"/>
      <c r="C54" s="1"/>
      <c r="D54" s="1"/>
      <c r="E54" s="1"/>
      <c r="F54" s="1"/>
      <c r="U54" s="16"/>
      <c r="V54" s="1"/>
    </row>
    <row r="55" spans="1:22" x14ac:dyDescent="0.25">
      <c r="A55" s="1"/>
      <c r="C55" s="1"/>
      <c r="D55" s="1"/>
      <c r="E55" s="1"/>
      <c r="F55" s="1"/>
      <c r="U55" s="16"/>
      <c r="V55" s="1"/>
    </row>
    <row r="56" spans="1:22" x14ac:dyDescent="0.25">
      <c r="A56" s="1"/>
      <c r="C56" s="1"/>
      <c r="D56" s="1"/>
      <c r="E56" s="1"/>
      <c r="F56" s="1"/>
      <c r="U56" s="16"/>
      <c r="V56" s="1"/>
    </row>
    <row r="57" spans="1:22" x14ac:dyDescent="0.25">
      <c r="A57" s="1"/>
      <c r="C57" s="1"/>
      <c r="D57" s="1"/>
      <c r="E57" s="1"/>
      <c r="F57" s="1"/>
      <c r="U57" s="16"/>
      <c r="V57" s="1"/>
    </row>
    <row r="58" spans="1:22" x14ac:dyDescent="0.25">
      <c r="A58" s="1"/>
      <c r="C58" s="1"/>
      <c r="D58" s="1"/>
      <c r="E58" s="1"/>
      <c r="F58" s="1"/>
      <c r="U58" s="16"/>
      <c r="V58" s="1"/>
    </row>
    <row r="59" spans="1:22" x14ac:dyDescent="0.25">
      <c r="A59" s="1"/>
      <c r="C59" s="1"/>
      <c r="D59" s="1"/>
      <c r="E59" s="1"/>
      <c r="F59" s="1"/>
      <c r="U59" s="16"/>
      <c r="V59" s="1"/>
    </row>
    <row r="60" spans="1:22" x14ac:dyDescent="0.25">
      <c r="A60" s="1"/>
      <c r="C60" s="1"/>
      <c r="D60" s="1"/>
      <c r="E60" s="1"/>
      <c r="F60" s="1"/>
      <c r="U60" s="16"/>
      <c r="V60" s="1"/>
    </row>
    <row r="61" spans="1:22" x14ac:dyDescent="0.25">
      <c r="A61" s="1"/>
      <c r="C61" s="1"/>
      <c r="D61" s="1"/>
      <c r="E61" s="1"/>
      <c r="F61" s="1"/>
      <c r="U61" s="16"/>
      <c r="V61" s="1"/>
    </row>
    <row r="62" spans="1:22" x14ac:dyDescent="0.25">
      <c r="A62" s="1"/>
      <c r="C62" s="1"/>
      <c r="D62" s="1"/>
      <c r="E62" s="1"/>
      <c r="F62" s="1"/>
      <c r="U62" s="16"/>
      <c r="V62" s="1"/>
    </row>
    <row r="63" spans="1:22" x14ac:dyDescent="0.25">
      <c r="A63" s="1"/>
      <c r="C63" s="1"/>
      <c r="D63" s="1"/>
      <c r="E63" s="1"/>
      <c r="F63" s="1"/>
      <c r="U63" s="16"/>
      <c r="V63" s="1"/>
    </row>
    <row r="64" spans="1:22" x14ac:dyDescent="0.25">
      <c r="A64" s="1"/>
      <c r="C64" s="1"/>
      <c r="D64" s="1"/>
      <c r="E64" s="1"/>
      <c r="F64" s="1"/>
      <c r="U64" s="16"/>
      <c r="V64" s="1"/>
    </row>
    <row r="65" spans="1:22" x14ac:dyDescent="0.25">
      <c r="A65" s="1"/>
      <c r="C65" s="1"/>
      <c r="D65" s="1"/>
      <c r="E65" s="1"/>
      <c r="F65" s="1"/>
      <c r="U65" s="16"/>
      <c r="V65" s="1"/>
    </row>
    <row r="66" spans="1:22" x14ac:dyDescent="0.25">
      <c r="A66" s="1"/>
      <c r="C66" s="1"/>
      <c r="D66" s="1"/>
      <c r="E66" s="1"/>
      <c r="F66" s="1"/>
      <c r="U66" s="16"/>
      <c r="V66" s="1"/>
    </row>
    <row r="67" spans="1:22" x14ac:dyDescent="0.25">
      <c r="A67" s="1"/>
      <c r="C67" s="1"/>
      <c r="D67" s="1"/>
      <c r="E67" s="1"/>
      <c r="F67" s="1"/>
      <c r="U67" s="16"/>
      <c r="V67" s="1"/>
    </row>
    <row r="68" spans="1:22" x14ac:dyDescent="0.25">
      <c r="A68" s="1"/>
      <c r="C68" s="1"/>
      <c r="D68" s="1"/>
      <c r="E68" s="1"/>
      <c r="F68" s="1"/>
      <c r="U68" s="16"/>
      <c r="V68" s="1"/>
    </row>
    <row r="69" spans="1:22" x14ac:dyDescent="0.25">
      <c r="A69" s="1"/>
      <c r="C69" s="1"/>
      <c r="D69" s="1"/>
      <c r="E69" s="1"/>
      <c r="F69" s="1"/>
      <c r="U69" s="16"/>
      <c r="V69" s="1"/>
    </row>
    <row r="70" spans="1:22" x14ac:dyDescent="0.25">
      <c r="A70" s="1"/>
      <c r="C70" s="1"/>
      <c r="D70" s="1"/>
      <c r="E70" s="1"/>
      <c r="F70" s="1"/>
      <c r="U70" s="16"/>
      <c r="V70" s="1"/>
    </row>
    <row r="71" spans="1:22" x14ac:dyDescent="0.25">
      <c r="A71" s="1"/>
      <c r="C71" s="1"/>
      <c r="D71" s="1"/>
      <c r="E71" s="1"/>
      <c r="F71" s="1"/>
      <c r="U71" s="16"/>
      <c r="V71" s="1"/>
    </row>
    <row r="72" spans="1:22" x14ac:dyDescent="0.25">
      <c r="A72" s="1"/>
      <c r="C72" s="1"/>
      <c r="D72" s="1"/>
      <c r="E72" s="1"/>
      <c r="F72" s="1"/>
      <c r="U72" s="16"/>
      <c r="V72" s="1"/>
    </row>
    <row r="73" spans="1:22" x14ac:dyDescent="0.25">
      <c r="A73" s="1"/>
      <c r="C73" s="1"/>
      <c r="D73" s="1"/>
      <c r="E73" s="1"/>
      <c r="F73" s="1"/>
      <c r="U73" s="16"/>
      <c r="V73" s="1"/>
    </row>
    <row r="74" spans="1:22" x14ac:dyDescent="0.25">
      <c r="A74" s="1"/>
      <c r="C74" s="1"/>
      <c r="D74" s="1"/>
      <c r="E74" s="1"/>
      <c r="F74" s="1"/>
      <c r="U74" s="16"/>
      <c r="V74" s="1"/>
    </row>
    <row r="75" spans="1:22" x14ac:dyDescent="0.25">
      <c r="A75" s="1"/>
      <c r="C75" s="1"/>
      <c r="D75" s="1"/>
      <c r="E75" s="1"/>
      <c r="F75" s="1"/>
      <c r="U75" s="16"/>
      <c r="V75" s="1"/>
    </row>
    <row r="76" spans="1:22" x14ac:dyDescent="0.25">
      <c r="A76" s="1"/>
      <c r="C76" s="1"/>
      <c r="D76" s="1"/>
      <c r="E76" s="1"/>
      <c r="F76" s="1"/>
      <c r="U76" s="16"/>
      <c r="V76" s="1"/>
    </row>
    <row r="77" spans="1:22" x14ac:dyDescent="0.25">
      <c r="A77" s="1"/>
      <c r="C77" s="1"/>
      <c r="D77" s="1"/>
      <c r="E77" s="1"/>
      <c r="F77" s="1"/>
      <c r="U77" s="16"/>
      <c r="V77" s="1"/>
    </row>
    <row r="78" spans="1:22" x14ac:dyDescent="0.25">
      <c r="A78" s="1"/>
      <c r="C78" s="1"/>
      <c r="D78" s="1"/>
      <c r="E78" s="1"/>
      <c r="F78" s="1"/>
      <c r="U78" s="16"/>
      <c r="V78" s="1"/>
    </row>
    <row r="79" spans="1:22" x14ac:dyDescent="0.25">
      <c r="A79" s="1"/>
      <c r="C79" s="1"/>
      <c r="D79" s="1"/>
      <c r="E79" s="1"/>
      <c r="F79" s="1"/>
      <c r="U79" s="16"/>
      <c r="V79" s="1"/>
    </row>
    <row r="80" spans="1:22" x14ac:dyDescent="0.25">
      <c r="A80" s="1"/>
      <c r="C80" s="1"/>
      <c r="D80" s="1"/>
      <c r="E80" s="1"/>
      <c r="F80" s="1"/>
      <c r="U80" s="16"/>
      <c r="V80" s="1"/>
    </row>
    <row r="81" spans="1:22" x14ac:dyDescent="0.25">
      <c r="A81" s="1"/>
      <c r="C81" s="1"/>
      <c r="D81" s="1"/>
      <c r="E81" s="1"/>
      <c r="F81" s="1"/>
      <c r="U81" s="16"/>
      <c r="V81" s="1"/>
    </row>
    <row r="82" spans="1:22" x14ac:dyDescent="0.25">
      <c r="A82" s="1"/>
      <c r="C82" s="1"/>
      <c r="D82" s="1"/>
      <c r="E82" s="1"/>
      <c r="F82" s="1"/>
      <c r="U82" s="16"/>
      <c r="V82" s="1"/>
    </row>
    <row r="83" spans="1:22" x14ac:dyDescent="0.25">
      <c r="A83" s="1"/>
      <c r="C83" s="1"/>
      <c r="D83" s="1"/>
      <c r="E83" s="1"/>
      <c r="F83" s="1"/>
      <c r="U83" s="16"/>
      <c r="V83" s="1"/>
    </row>
    <row r="84" spans="1:22" x14ac:dyDescent="0.25">
      <c r="A84" s="1"/>
      <c r="C84" s="1"/>
      <c r="D84" s="1"/>
      <c r="E84" s="1"/>
      <c r="F84" s="1"/>
      <c r="U84" s="16"/>
      <c r="V84" s="1"/>
    </row>
    <row r="85" spans="1:22" x14ac:dyDescent="0.25">
      <c r="A85" s="1"/>
      <c r="C85" s="1"/>
      <c r="D85" s="1"/>
      <c r="E85" s="1"/>
      <c r="F85" s="1"/>
      <c r="U85" s="16"/>
      <c r="V85" s="1"/>
    </row>
    <row r="86" spans="1:22" x14ac:dyDescent="0.25">
      <c r="A86" s="1"/>
      <c r="C86" s="1"/>
      <c r="D86" s="1"/>
      <c r="E86" s="1"/>
      <c r="F86" s="1"/>
      <c r="U86" s="16"/>
      <c r="V86" s="1"/>
    </row>
    <row r="87" spans="1:22" x14ac:dyDescent="0.25">
      <c r="A87" s="1"/>
      <c r="C87" s="1"/>
      <c r="D87" s="1"/>
      <c r="E87" s="1"/>
      <c r="F87" s="1"/>
      <c r="U87" s="16"/>
      <c r="V87" s="1"/>
    </row>
    <row r="88" spans="1:22" x14ac:dyDescent="0.25">
      <c r="A88" s="1"/>
      <c r="C88" s="1"/>
      <c r="D88" s="1"/>
      <c r="E88" s="1"/>
      <c r="F88" s="1"/>
      <c r="U88" s="16"/>
      <c r="V88" s="1"/>
    </row>
    <row r="89" spans="1:22" x14ac:dyDescent="0.25">
      <c r="A89" s="1"/>
      <c r="C89" s="1"/>
      <c r="D89" s="1"/>
      <c r="E89" s="1"/>
      <c r="F89" s="1"/>
      <c r="U89" s="16"/>
      <c r="V89" s="1"/>
    </row>
    <row r="90" spans="1:22" x14ac:dyDescent="0.25">
      <c r="A90" s="1"/>
      <c r="C90" s="1"/>
      <c r="D90" s="1"/>
      <c r="E90" s="1"/>
      <c r="F90" s="1"/>
      <c r="U90" s="16"/>
      <c r="V90" s="1"/>
    </row>
    <row r="91" spans="1:22" x14ac:dyDescent="0.25">
      <c r="A91" s="1"/>
      <c r="C91" s="1"/>
      <c r="D91" s="1"/>
      <c r="E91" s="1"/>
      <c r="F91" s="1"/>
      <c r="U91" s="16"/>
      <c r="V91" s="1"/>
    </row>
    <row r="92" spans="1:22" x14ac:dyDescent="0.25">
      <c r="A92" s="1"/>
      <c r="C92" s="1"/>
      <c r="D92" s="1"/>
      <c r="E92" s="1"/>
      <c r="F92" s="1"/>
      <c r="U92" s="16"/>
      <c r="V92" s="1"/>
    </row>
    <row r="93" spans="1:22" x14ac:dyDescent="0.25">
      <c r="A93" s="1"/>
      <c r="C93" s="1"/>
      <c r="D93" s="1"/>
      <c r="E93" s="1"/>
      <c r="F93" s="1"/>
      <c r="U93" s="16"/>
      <c r="V93" s="1"/>
    </row>
    <row r="94" spans="1:22" x14ac:dyDescent="0.25">
      <c r="A94" s="1"/>
      <c r="C94" s="1"/>
      <c r="D94" s="1"/>
      <c r="E94" s="1"/>
      <c r="F94" s="1"/>
      <c r="U94" s="16"/>
      <c r="V94" s="1"/>
    </row>
    <row r="95" spans="1:22" x14ac:dyDescent="0.25">
      <c r="A95" s="1"/>
      <c r="C95" s="1"/>
      <c r="D95" s="1"/>
      <c r="E95" s="1"/>
      <c r="F95" s="1"/>
      <c r="U95" s="16"/>
      <c r="V95" s="1"/>
    </row>
    <row r="96" spans="1:22" x14ac:dyDescent="0.25">
      <c r="A96" s="1"/>
      <c r="C96" s="1"/>
      <c r="D96" s="1"/>
      <c r="E96" s="1"/>
      <c r="F96" s="1"/>
      <c r="U96" s="16"/>
      <c r="V96" s="1"/>
    </row>
    <row r="97" spans="1:22" x14ac:dyDescent="0.25">
      <c r="A97" s="1"/>
      <c r="C97" s="1"/>
      <c r="D97" s="1"/>
      <c r="E97" s="1"/>
      <c r="F97" s="1"/>
      <c r="U97" s="16"/>
      <c r="V97" s="1"/>
    </row>
    <row r="98" spans="1:22" x14ac:dyDescent="0.25">
      <c r="A98" s="1"/>
      <c r="C98" s="1"/>
      <c r="D98" s="1"/>
      <c r="E98" s="1"/>
      <c r="F98" s="1"/>
      <c r="U98" s="16"/>
      <c r="V98" s="1"/>
    </row>
    <row r="99" spans="1:22" x14ac:dyDescent="0.25">
      <c r="A99" s="1"/>
      <c r="C99" s="1"/>
      <c r="D99" s="1"/>
      <c r="E99" s="1"/>
      <c r="F99" s="1"/>
      <c r="U99" s="16"/>
      <c r="V99" s="1"/>
    </row>
    <row r="100" spans="1:22" x14ac:dyDescent="0.25">
      <c r="A100" s="1"/>
      <c r="C100" s="1"/>
      <c r="D100" s="1"/>
      <c r="E100" s="1"/>
      <c r="F100" s="1"/>
      <c r="U100" s="16"/>
      <c r="V100" s="1"/>
    </row>
    <row r="101" spans="1:22" x14ac:dyDescent="0.25">
      <c r="A101" s="1"/>
      <c r="C101" s="1"/>
      <c r="D101" s="1"/>
      <c r="E101" s="1"/>
      <c r="F101" s="1"/>
      <c r="U101" s="16"/>
      <c r="V101" s="1"/>
    </row>
    <row r="102" spans="1:22" x14ac:dyDescent="0.25">
      <c r="A102" s="1"/>
      <c r="C102" s="1"/>
      <c r="D102" s="1"/>
      <c r="E102" s="1"/>
      <c r="F102" s="1"/>
      <c r="U102" s="16"/>
      <c r="V102" s="1"/>
    </row>
    <row r="103" spans="1:22" x14ac:dyDescent="0.25">
      <c r="A103" s="1"/>
      <c r="C103" s="1"/>
      <c r="D103" s="1"/>
      <c r="E103" s="1"/>
      <c r="F103" s="1"/>
      <c r="U103" s="16"/>
      <c r="V103" s="1"/>
    </row>
    <row r="104" spans="1:22" x14ac:dyDescent="0.25">
      <c r="A104" s="1"/>
      <c r="C104" s="1"/>
      <c r="D104" s="1"/>
      <c r="E104" s="1"/>
      <c r="F104" s="1"/>
      <c r="U104" s="16"/>
      <c r="V104" s="1"/>
    </row>
    <row r="105" spans="1:22" x14ac:dyDescent="0.25">
      <c r="A105" s="1"/>
      <c r="C105" s="1"/>
      <c r="D105" s="1"/>
      <c r="E105" s="1"/>
      <c r="F105" s="1"/>
      <c r="U105" s="16"/>
      <c r="V105" s="1"/>
    </row>
    <row r="106" spans="1:22" x14ac:dyDescent="0.25">
      <c r="A106" s="1"/>
      <c r="C106" s="1"/>
      <c r="D106" s="1"/>
      <c r="E106" s="1"/>
      <c r="F106" s="1"/>
      <c r="U106" s="16"/>
      <c r="V106" s="1"/>
    </row>
    <row r="107" spans="1:22" x14ac:dyDescent="0.25">
      <c r="A107" s="1"/>
      <c r="C107" s="1"/>
      <c r="D107" s="1"/>
      <c r="E107" s="1"/>
      <c r="F107" s="1"/>
      <c r="U107" s="16"/>
      <c r="V107" s="1"/>
    </row>
    <row r="108" spans="1:22" x14ac:dyDescent="0.25">
      <c r="A108" s="1"/>
      <c r="C108" s="1"/>
      <c r="D108" s="1"/>
      <c r="E108" s="1"/>
      <c r="F108" s="1"/>
      <c r="U108" s="16"/>
      <c r="V108" s="1"/>
    </row>
    <row r="109" spans="1:22" x14ac:dyDescent="0.25">
      <c r="A109" s="1"/>
      <c r="C109" s="1"/>
      <c r="D109" s="1"/>
      <c r="E109" s="1"/>
      <c r="F109" s="1"/>
      <c r="U109" s="16"/>
      <c r="V109" s="1"/>
    </row>
    <row r="110" spans="1:22" x14ac:dyDescent="0.25">
      <c r="A110" s="1"/>
      <c r="C110" s="1"/>
      <c r="D110" s="1"/>
      <c r="E110" s="1"/>
      <c r="F110" s="1"/>
      <c r="U110" s="16"/>
      <c r="V110" s="1"/>
    </row>
    <row r="111" spans="1:22" x14ac:dyDescent="0.25">
      <c r="A111" s="1"/>
      <c r="C111" s="1"/>
      <c r="D111" s="1"/>
      <c r="E111" s="1"/>
      <c r="F111" s="1"/>
      <c r="U111" s="16"/>
      <c r="V111" s="1"/>
    </row>
    <row r="112" spans="1:22" x14ac:dyDescent="0.25">
      <c r="A112" s="1"/>
      <c r="C112" s="1"/>
      <c r="D112" s="1"/>
      <c r="E112" s="1"/>
      <c r="F112" s="1"/>
      <c r="U112" s="16"/>
      <c r="V112" s="1"/>
    </row>
    <row r="113" spans="1:22" x14ac:dyDescent="0.25">
      <c r="A113" s="1"/>
      <c r="C113" s="1"/>
      <c r="D113" s="1"/>
      <c r="E113" s="1"/>
      <c r="F113" s="1"/>
      <c r="U113" s="16"/>
      <c r="V113" s="1"/>
    </row>
    <row r="114" spans="1:22" x14ac:dyDescent="0.25">
      <c r="A114" s="1"/>
      <c r="C114" s="1"/>
      <c r="D114" s="1"/>
      <c r="E114" s="1"/>
      <c r="F114" s="1"/>
      <c r="U114" s="16"/>
      <c r="V114" s="1"/>
    </row>
    <row r="115" spans="1:22" x14ac:dyDescent="0.25">
      <c r="A115" s="1"/>
      <c r="C115" s="1"/>
      <c r="D115" s="1"/>
      <c r="E115" s="1"/>
      <c r="F115" s="1"/>
      <c r="U115" s="16"/>
      <c r="V115" s="1"/>
    </row>
    <row r="116" spans="1:22" x14ac:dyDescent="0.25">
      <c r="A116" s="1"/>
      <c r="C116" s="1"/>
      <c r="D116" s="1"/>
      <c r="E116" s="1"/>
      <c r="F116" s="1"/>
      <c r="U116" s="16"/>
      <c r="V116" s="1"/>
    </row>
    <row r="117" spans="1:22" x14ac:dyDescent="0.25">
      <c r="A117" s="1"/>
      <c r="C117" s="1"/>
      <c r="D117" s="1"/>
      <c r="E117" s="1"/>
      <c r="F117" s="1"/>
      <c r="U117" s="16"/>
      <c r="V117" s="1"/>
    </row>
    <row r="118" spans="1:22" x14ac:dyDescent="0.25">
      <c r="A118" s="1"/>
      <c r="C118" s="1"/>
      <c r="D118" s="1"/>
      <c r="E118" s="1"/>
      <c r="F118" s="1"/>
      <c r="U118" s="16"/>
      <c r="V118" s="1"/>
    </row>
    <row r="119" spans="1:22" x14ac:dyDescent="0.25">
      <c r="A119" s="1"/>
      <c r="C119" s="1"/>
      <c r="D119" s="1"/>
      <c r="E119" s="1"/>
      <c r="F119" s="1"/>
      <c r="U119" s="16"/>
      <c r="V119" s="1"/>
    </row>
    <row r="120" spans="1:22" x14ac:dyDescent="0.25">
      <c r="A120" s="1"/>
      <c r="C120" s="1"/>
      <c r="D120" s="1"/>
      <c r="E120" s="1"/>
      <c r="F120" s="1"/>
      <c r="U120" s="16"/>
      <c r="V120" s="1"/>
    </row>
    <row r="121" spans="1:22" x14ac:dyDescent="0.25">
      <c r="A121" s="1"/>
      <c r="C121" s="1"/>
      <c r="D121" s="1"/>
      <c r="E121" s="1"/>
      <c r="F121" s="1"/>
      <c r="U121" s="16"/>
      <c r="V121" s="1"/>
    </row>
    <row r="122" spans="1:22" x14ac:dyDescent="0.25">
      <c r="A122" s="1"/>
      <c r="C122" s="1"/>
      <c r="D122" s="1"/>
      <c r="E122" s="1"/>
      <c r="F122" s="1"/>
      <c r="U122" s="16"/>
      <c r="V122" s="1"/>
    </row>
    <row r="123" spans="1:22" x14ac:dyDescent="0.25">
      <c r="A123" s="1"/>
      <c r="C123" s="1"/>
      <c r="D123" s="1"/>
      <c r="E123" s="1"/>
      <c r="F123" s="1"/>
      <c r="U123" s="16"/>
      <c r="V123" s="1"/>
    </row>
    <row r="124" spans="1:22" x14ac:dyDescent="0.25">
      <c r="A124" s="1"/>
      <c r="C124" s="1"/>
      <c r="D124" s="1"/>
      <c r="E124" s="1"/>
      <c r="F124" s="1"/>
      <c r="U124" s="16"/>
      <c r="V124" s="1"/>
    </row>
    <row r="125" spans="1:22" x14ac:dyDescent="0.25">
      <c r="A125" s="1"/>
      <c r="C125" s="1"/>
      <c r="D125" s="1"/>
      <c r="E125" s="1"/>
      <c r="F125" s="1"/>
      <c r="U125" s="16"/>
      <c r="V125" s="1"/>
    </row>
    <row r="126" spans="1:22" x14ac:dyDescent="0.25">
      <c r="A126" s="1"/>
      <c r="C126" s="1"/>
      <c r="D126" s="1"/>
      <c r="E126" s="1"/>
      <c r="F126" s="1"/>
      <c r="U126" s="16"/>
      <c r="V126" s="1"/>
    </row>
    <row r="127" spans="1:22" x14ac:dyDescent="0.25">
      <c r="A127" s="1"/>
      <c r="C127" s="1"/>
      <c r="D127" s="1"/>
      <c r="E127" s="1"/>
      <c r="F127" s="1"/>
      <c r="U127" s="16"/>
      <c r="V127" s="1"/>
    </row>
    <row r="128" spans="1:22" x14ac:dyDescent="0.25">
      <c r="A128" s="1"/>
      <c r="C128" s="1"/>
      <c r="D128" s="1"/>
      <c r="E128" s="1"/>
      <c r="F128" s="1"/>
      <c r="U128" s="16"/>
      <c r="V128" s="1"/>
    </row>
    <row r="129" spans="1:22" x14ac:dyDescent="0.25">
      <c r="A129" s="1"/>
      <c r="C129" s="1"/>
      <c r="D129" s="1"/>
      <c r="E129" s="1"/>
      <c r="F129" s="1"/>
      <c r="U129" s="16"/>
      <c r="V129" s="1"/>
    </row>
    <row r="130" spans="1:22" x14ac:dyDescent="0.25">
      <c r="A130" s="1"/>
      <c r="C130" s="1"/>
      <c r="D130" s="1"/>
      <c r="E130" s="1"/>
      <c r="F130" s="1"/>
      <c r="U130" s="16"/>
      <c r="V130" s="1"/>
    </row>
    <row r="131" spans="1:22" x14ac:dyDescent="0.25">
      <c r="A131" s="1"/>
      <c r="C131" s="1"/>
      <c r="D131" s="1"/>
      <c r="E131" s="1"/>
      <c r="F131" s="1"/>
      <c r="U131" s="16"/>
      <c r="V131" s="1"/>
    </row>
    <row r="132" spans="1:22" x14ac:dyDescent="0.25">
      <c r="A132" s="1"/>
      <c r="C132" s="1"/>
      <c r="D132" s="1"/>
      <c r="E132" s="1"/>
      <c r="F132" s="1"/>
      <c r="U132" s="16"/>
      <c r="V132" s="1"/>
    </row>
    <row r="133" spans="1:22" x14ac:dyDescent="0.25">
      <c r="A133" s="1"/>
      <c r="C133" s="1"/>
      <c r="D133" s="1"/>
      <c r="E133" s="1"/>
      <c r="F133" s="1"/>
      <c r="U133" s="16"/>
      <c r="V133" s="1"/>
    </row>
    <row r="134" spans="1:22" x14ac:dyDescent="0.25">
      <c r="A134" s="1"/>
      <c r="C134" s="1"/>
      <c r="D134" s="1"/>
      <c r="E134" s="1"/>
      <c r="F134" s="1"/>
      <c r="U134" s="16"/>
      <c r="V134" s="1"/>
    </row>
    <row r="135" spans="1:22" x14ac:dyDescent="0.25">
      <c r="A135" s="1"/>
      <c r="C135" s="1"/>
      <c r="D135" s="1"/>
      <c r="E135" s="1"/>
      <c r="F135" s="1"/>
      <c r="U135" s="16"/>
      <c r="V135" s="1"/>
    </row>
    <row r="136" spans="1:22" x14ac:dyDescent="0.25">
      <c r="A136" s="1"/>
      <c r="C136" s="1"/>
      <c r="D136" s="1"/>
      <c r="E136" s="1"/>
      <c r="F136" s="1"/>
      <c r="U136" s="16"/>
      <c r="V136" s="1"/>
    </row>
    <row r="137" spans="1:22" x14ac:dyDescent="0.25">
      <c r="A137" s="1"/>
      <c r="C137" s="1"/>
      <c r="D137" s="1"/>
      <c r="E137" s="1"/>
      <c r="F137" s="1"/>
      <c r="U137" s="16"/>
      <c r="V137" s="1"/>
    </row>
    <row r="138" spans="1:22" x14ac:dyDescent="0.25">
      <c r="A138" s="1"/>
      <c r="C138" s="1"/>
      <c r="D138" s="1"/>
      <c r="E138" s="1"/>
      <c r="F138" s="1"/>
      <c r="U138" s="16"/>
      <c r="V138" s="1"/>
    </row>
    <row r="139" spans="1:22" x14ac:dyDescent="0.25">
      <c r="A139" s="1"/>
      <c r="C139" s="1"/>
      <c r="D139" s="1"/>
      <c r="E139" s="1"/>
      <c r="F139" s="1"/>
      <c r="U139" s="16"/>
      <c r="V139" s="1"/>
    </row>
    <row r="140" spans="1:22" x14ac:dyDescent="0.25">
      <c r="A140" s="1"/>
      <c r="C140" s="1"/>
      <c r="D140" s="1"/>
      <c r="E140" s="1"/>
      <c r="F140" s="1"/>
      <c r="U140" s="16"/>
      <c r="V140" s="1"/>
    </row>
    <row r="141" spans="1:22" x14ac:dyDescent="0.25">
      <c r="A141" s="1"/>
      <c r="C141" s="1"/>
      <c r="D141" s="1"/>
      <c r="E141" s="1"/>
      <c r="F141" s="1"/>
      <c r="U141" s="16"/>
      <c r="V141" s="1"/>
    </row>
    <row r="142" spans="1:22" x14ac:dyDescent="0.25">
      <c r="A142" s="1"/>
      <c r="C142" s="1"/>
      <c r="D142" s="1"/>
      <c r="E142" s="1"/>
      <c r="F142" s="1"/>
      <c r="U142" s="16"/>
      <c r="V142" s="1"/>
    </row>
    <row r="143" spans="1:22" x14ac:dyDescent="0.25">
      <c r="A143" s="1"/>
      <c r="C143" s="1"/>
      <c r="D143" s="1"/>
      <c r="E143" s="1"/>
      <c r="F143" s="1"/>
      <c r="U143" s="16"/>
      <c r="V143" s="1"/>
    </row>
    <row r="144" spans="1:22" x14ac:dyDescent="0.25">
      <c r="A144" s="1"/>
      <c r="C144" s="1"/>
      <c r="D144" s="1"/>
      <c r="E144" s="1"/>
      <c r="F144" s="1"/>
      <c r="U144" s="16"/>
      <c r="V144" s="1"/>
    </row>
    <row r="145" spans="1:22" x14ac:dyDescent="0.25">
      <c r="A145" s="1"/>
      <c r="C145" s="1"/>
      <c r="D145" s="1"/>
      <c r="E145" s="1"/>
      <c r="F145" s="1"/>
      <c r="U145" s="16"/>
      <c r="V145" s="1"/>
    </row>
    <row r="146" spans="1:22" x14ac:dyDescent="0.25">
      <c r="A146" s="1"/>
      <c r="C146" s="1"/>
      <c r="D146" s="1"/>
      <c r="E146" s="1"/>
      <c r="F146" s="1"/>
      <c r="U146" s="16"/>
      <c r="V146" s="1"/>
    </row>
    <row r="147" spans="1:22" x14ac:dyDescent="0.25">
      <c r="A147" s="1"/>
      <c r="C147" s="1"/>
      <c r="D147" s="1"/>
      <c r="E147" s="1"/>
      <c r="F147" s="1"/>
      <c r="U147" s="16"/>
      <c r="V147" s="1"/>
    </row>
    <row r="148" spans="1:22" x14ac:dyDescent="0.25">
      <c r="A148" s="1"/>
      <c r="C148" s="1"/>
      <c r="D148" s="1"/>
      <c r="E148" s="1"/>
      <c r="F148" s="1"/>
      <c r="U148" s="16"/>
      <c r="V148" s="1"/>
    </row>
    <row r="149" spans="1:22" x14ac:dyDescent="0.25">
      <c r="A149" s="1"/>
      <c r="C149" s="1"/>
      <c r="D149" s="1"/>
      <c r="E149" s="1"/>
      <c r="F149" s="1"/>
      <c r="U149" s="16"/>
      <c r="V149" s="1"/>
    </row>
    <row r="150" spans="1:22" x14ac:dyDescent="0.25">
      <c r="A150" s="1"/>
      <c r="C150" s="1"/>
      <c r="D150" s="1"/>
      <c r="E150" s="1"/>
      <c r="F150" s="1"/>
      <c r="U150" s="16"/>
      <c r="V150" s="1"/>
    </row>
    <row r="151" spans="1:22" x14ac:dyDescent="0.25">
      <c r="A151" s="1"/>
      <c r="C151" s="1"/>
      <c r="D151" s="1"/>
      <c r="E151" s="1"/>
      <c r="F151" s="1"/>
      <c r="U151" s="16"/>
      <c r="V151" s="1"/>
    </row>
    <row r="152" spans="1:22" x14ac:dyDescent="0.25">
      <c r="A152" s="1"/>
      <c r="C152" s="1"/>
      <c r="D152" s="1"/>
      <c r="E152" s="1"/>
      <c r="F152" s="1"/>
      <c r="U152" s="16"/>
      <c r="V152" s="1"/>
    </row>
    <row r="153" spans="1:22" x14ac:dyDescent="0.25">
      <c r="A153" s="1"/>
      <c r="C153" s="1"/>
      <c r="D153" s="1"/>
      <c r="E153" s="1"/>
      <c r="F153" s="1"/>
      <c r="U153" s="16"/>
      <c r="V153" s="1"/>
    </row>
    <row r="154" spans="1:22" x14ac:dyDescent="0.25">
      <c r="A154" s="1"/>
      <c r="C154" s="1"/>
      <c r="D154" s="1"/>
      <c r="E154" s="1"/>
      <c r="F154" s="1"/>
      <c r="U154" s="16"/>
      <c r="V154" s="1"/>
    </row>
    <row r="155" spans="1:22" x14ac:dyDescent="0.25">
      <c r="A155" s="1"/>
      <c r="C155" s="1"/>
      <c r="D155" s="1"/>
      <c r="E155" s="1"/>
      <c r="F155" s="1"/>
      <c r="U155" s="16"/>
      <c r="V155" s="1"/>
    </row>
    <row r="156" spans="1:22" x14ac:dyDescent="0.25">
      <c r="A156" s="1"/>
      <c r="C156" s="1"/>
      <c r="D156" s="1"/>
      <c r="E156" s="1"/>
      <c r="F156" s="1"/>
      <c r="U156" s="16"/>
      <c r="V156" s="1"/>
    </row>
    <row r="157" spans="1:22" x14ac:dyDescent="0.25">
      <c r="A157" s="1"/>
      <c r="C157" s="1"/>
      <c r="D157" s="1"/>
      <c r="E157" s="1"/>
      <c r="F157" s="1"/>
      <c r="U157" s="16"/>
      <c r="V157" s="1"/>
    </row>
    <row r="158" spans="1:22" x14ac:dyDescent="0.25">
      <c r="A158" s="1"/>
      <c r="C158" s="1"/>
      <c r="D158" s="1"/>
      <c r="E158" s="1"/>
      <c r="F158" s="1"/>
      <c r="U158" s="16"/>
      <c r="V158" s="1"/>
    </row>
    <row r="159" spans="1:22" x14ac:dyDescent="0.25">
      <c r="A159" s="1"/>
      <c r="C159" s="1"/>
      <c r="D159" s="1"/>
      <c r="E159" s="1"/>
      <c r="F159" s="1"/>
      <c r="U159" s="16"/>
      <c r="V159" s="1"/>
    </row>
    <row r="160" spans="1:22" x14ac:dyDescent="0.25">
      <c r="A160" s="1"/>
      <c r="C160" s="1"/>
      <c r="D160" s="1"/>
      <c r="E160" s="1"/>
      <c r="F160" s="1"/>
      <c r="U160" s="16"/>
      <c r="V160" s="1"/>
    </row>
    <row r="161" spans="1:22" x14ac:dyDescent="0.25">
      <c r="A161" s="1"/>
      <c r="C161" s="1"/>
      <c r="D161" s="1"/>
      <c r="E161" s="1"/>
      <c r="F161" s="1"/>
      <c r="U161" s="16"/>
      <c r="V161" s="1"/>
    </row>
    <row r="162" spans="1:22" x14ac:dyDescent="0.25">
      <c r="A162" s="1"/>
      <c r="C162" s="1"/>
      <c r="D162" s="1"/>
      <c r="E162" s="1"/>
      <c r="F162" s="1"/>
      <c r="U162" s="16"/>
      <c r="V162" s="1"/>
    </row>
    <row r="163" spans="1:22" x14ac:dyDescent="0.25">
      <c r="A163" s="1"/>
      <c r="C163" s="1"/>
      <c r="D163" s="1"/>
      <c r="E163" s="1"/>
      <c r="F163" s="1"/>
      <c r="U163" s="16"/>
      <c r="V163" s="1"/>
    </row>
    <row r="164" spans="1:22" x14ac:dyDescent="0.25">
      <c r="A164" s="1"/>
      <c r="C164" s="1"/>
      <c r="D164" s="1"/>
      <c r="E164" s="1"/>
      <c r="F164" s="1"/>
      <c r="U164" s="16"/>
      <c r="V164" s="1"/>
    </row>
    <row r="165" spans="1:22" x14ac:dyDescent="0.25">
      <c r="A165" s="1"/>
      <c r="C165" s="1"/>
      <c r="D165" s="1"/>
      <c r="E165" s="1"/>
      <c r="F165" s="1"/>
      <c r="U165" s="16"/>
      <c r="V165" s="1"/>
    </row>
    <row r="166" spans="1:22" x14ac:dyDescent="0.25">
      <c r="A166" s="1"/>
      <c r="C166" s="1"/>
      <c r="D166" s="1"/>
      <c r="E166" s="1"/>
      <c r="F166" s="1"/>
      <c r="U166" s="16"/>
      <c r="V166" s="1"/>
    </row>
    <row r="167" spans="1:22" x14ac:dyDescent="0.25">
      <c r="A167" s="1"/>
      <c r="C167" s="1"/>
      <c r="D167" s="1"/>
      <c r="E167" s="1"/>
      <c r="F167" s="1"/>
      <c r="U167" s="16"/>
      <c r="V167" s="1"/>
    </row>
    <row r="168" spans="1:22" x14ac:dyDescent="0.25">
      <c r="A168" s="1"/>
      <c r="C168" s="1"/>
      <c r="D168" s="1"/>
      <c r="E168" s="1"/>
      <c r="F168" s="1"/>
      <c r="U168" s="16"/>
      <c r="V168" s="1"/>
    </row>
    <row r="169" spans="1:22" x14ac:dyDescent="0.25">
      <c r="A169" s="1"/>
      <c r="C169" s="1"/>
      <c r="D169" s="1"/>
      <c r="E169" s="1"/>
      <c r="F169" s="1"/>
      <c r="U169" s="16"/>
      <c r="V169" s="1"/>
    </row>
    <row r="170" spans="1:22" x14ac:dyDescent="0.25">
      <c r="A170" s="1"/>
      <c r="C170" s="1"/>
      <c r="D170" s="1"/>
      <c r="E170" s="1"/>
      <c r="F170" s="1"/>
      <c r="U170" s="16"/>
      <c r="V170" s="1"/>
    </row>
    <row r="171" spans="1:22" x14ac:dyDescent="0.25">
      <c r="A171" s="1"/>
      <c r="C171" s="1"/>
      <c r="D171" s="1"/>
      <c r="E171" s="1"/>
      <c r="F171" s="1"/>
      <c r="U171" s="16"/>
      <c r="V171" s="1"/>
    </row>
    <row r="172" spans="1:22" x14ac:dyDescent="0.25">
      <c r="A172" s="1"/>
      <c r="C172" s="1"/>
      <c r="D172" s="1"/>
      <c r="E172" s="1"/>
      <c r="F172" s="1"/>
      <c r="U172" s="16"/>
      <c r="V172" s="1"/>
    </row>
    <row r="173" spans="1:22" x14ac:dyDescent="0.25">
      <c r="A173" s="1"/>
      <c r="C173" s="1"/>
      <c r="D173" s="1"/>
      <c r="E173" s="1"/>
      <c r="F173" s="1"/>
      <c r="U173" s="16"/>
      <c r="V173" s="1"/>
    </row>
    <row r="174" spans="1:22" x14ac:dyDescent="0.25">
      <c r="A174" s="1"/>
      <c r="C174" s="1"/>
      <c r="D174" s="1"/>
      <c r="E174" s="1"/>
      <c r="F174" s="1"/>
      <c r="U174" s="16"/>
      <c r="V174" s="1"/>
    </row>
    <row r="175" spans="1:22" x14ac:dyDescent="0.25">
      <c r="A175" s="1"/>
      <c r="C175" s="1"/>
      <c r="D175" s="1"/>
      <c r="E175" s="1"/>
      <c r="F175" s="1"/>
      <c r="U175" s="16"/>
      <c r="V175" s="1"/>
    </row>
    <row r="176" spans="1:22" x14ac:dyDescent="0.25">
      <c r="A176" s="1"/>
      <c r="C176" s="1"/>
      <c r="D176" s="1"/>
      <c r="E176" s="1"/>
      <c r="F176" s="1"/>
      <c r="U176" s="16"/>
      <c r="V176" s="1"/>
    </row>
    <row r="177" spans="1:22" x14ac:dyDescent="0.25">
      <c r="A177" s="1"/>
      <c r="C177" s="1"/>
      <c r="D177" s="1"/>
      <c r="E177" s="1"/>
      <c r="F177" s="1"/>
      <c r="U177" s="16"/>
      <c r="V177" s="1"/>
    </row>
    <row r="178" spans="1:22" x14ac:dyDescent="0.25">
      <c r="A178" s="1"/>
      <c r="C178" s="1"/>
      <c r="D178" s="1"/>
      <c r="E178" s="1"/>
      <c r="F178" s="1"/>
      <c r="U178" s="16"/>
      <c r="V178" s="1"/>
    </row>
    <row r="179" spans="1:22" x14ac:dyDescent="0.25">
      <c r="A179" s="1"/>
      <c r="C179" s="1"/>
      <c r="D179" s="1"/>
      <c r="E179" s="1"/>
      <c r="F179" s="1"/>
      <c r="U179" s="16"/>
      <c r="V179" s="1"/>
    </row>
    <row r="180" spans="1:22" x14ac:dyDescent="0.25">
      <c r="A180" s="1"/>
      <c r="C180" s="1"/>
      <c r="D180" s="1"/>
      <c r="E180" s="1"/>
      <c r="F180" s="1"/>
      <c r="U180" s="16"/>
      <c r="V180" s="1"/>
    </row>
    <row r="181" spans="1:22" x14ac:dyDescent="0.25">
      <c r="A181" s="1"/>
      <c r="C181" s="1"/>
      <c r="D181" s="1"/>
      <c r="E181" s="1"/>
      <c r="F181" s="1"/>
      <c r="U181" s="16"/>
      <c r="V181" s="1"/>
    </row>
    <row r="182" spans="1:22" x14ac:dyDescent="0.25">
      <c r="A182" s="1"/>
      <c r="C182" s="1"/>
      <c r="D182" s="1"/>
      <c r="E182" s="1"/>
      <c r="F182" s="1"/>
      <c r="U182" s="16"/>
      <c r="V182" s="1"/>
    </row>
    <row r="183" spans="1:22" x14ac:dyDescent="0.25">
      <c r="A183" s="1"/>
      <c r="C183" s="1"/>
      <c r="D183" s="1"/>
      <c r="E183" s="1"/>
      <c r="F183" s="1"/>
      <c r="U183" s="16"/>
      <c r="V183" s="1"/>
    </row>
    <row r="184" spans="1:22" x14ac:dyDescent="0.25">
      <c r="A184" s="1"/>
      <c r="C184" s="1"/>
      <c r="D184" s="1"/>
      <c r="E184" s="1"/>
      <c r="F184" s="1"/>
      <c r="U184" s="16"/>
      <c r="V184" s="1"/>
    </row>
    <row r="185" spans="1:22" x14ac:dyDescent="0.25">
      <c r="A185" s="1"/>
      <c r="C185" s="1"/>
      <c r="D185" s="1"/>
      <c r="E185" s="1"/>
      <c r="F185" s="1"/>
      <c r="U185" s="16"/>
      <c r="V185" s="1"/>
    </row>
    <row r="186" spans="1:22" x14ac:dyDescent="0.25">
      <c r="A186" s="1"/>
      <c r="C186" s="1"/>
      <c r="D186" s="1"/>
      <c r="E186" s="1"/>
      <c r="F186" s="1"/>
      <c r="U186" s="16"/>
      <c r="V186" s="1"/>
    </row>
    <row r="187" spans="1:22" x14ac:dyDescent="0.25">
      <c r="A187" s="1"/>
      <c r="C187" s="1"/>
      <c r="D187" s="1"/>
      <c r="E187" s="1"/>
      <c r="F187" s="1"/>
      <c r="U187" s="16"/>
      <c r="V187" s="1"/>
    </row>
    <row r="188" spans="1:22" x14ac:dyDescent="0.25">
      <c r="A188" s="1"/>
      <c r="C188" s="1"/>
      <c r="D188" s="1"/>
      <c r="E188" s="1"/>
      <c r="F188" s="1"/>
      <c r="U188" s="16"/>
      <c r="V188" s="1"/>
    </row>
    <row r="189" spans="1:22" x14ac:dyDescent="0.25">
      <c r="A189" s="1"/>
      <c r="C189" s="1"/>
      <c r="D189" s="1"/>
      <c r="E189" s="1"/>
      <c r="F189" s="1"/>
      <c r="U189" s="16"/>
      <c r="V189" s="1"/>
    </row>
    <row r="190" spans="1:22" x14ac:dyDescent="0.25">
      <c r="A190" s="1"/>
      <c r="C190" s="1"/>
      <c r="D190" s="1"/>
      <c r="E190" s="1"/>
      <c r="F190" s="1"/>
      <c r="U190" s="16"/>
      <c r="V190" s="1"/>
    </row>
    <row r="191" spans="1:22" x14ac:dyDescent="0.25">
      <c r="A191" s="1"/>
      <c r="C191" s="1"/>
      <c r="D191" s="1"/>
      <c r="E191" s="1"/>
      <c r="F191" s="1"/>
      <c r="U191" s="16"/>
      <c r="V191" s="1"/>
    </row>
    <row r="192" spans="1:22" x14ac:dyDescent="0.25">
      <c r="A192" s="1"/>
      <c r="C192" s="1"/>
      <c r="D192" s="1"/>
      <c r="E192" s="1"/>
      <c r="F192" s="1"/>
      <c r="U192" s="16"/>
      <c r="V192" s="1"/>
    </row>
    <row r="193" spans="1:22" x14ac:dyDescent="0.25">
      <c r="A193" s="1"/>
      <c r="C193" s="1"/>
      <c r="D193" s="1"/>
      <c r="E193" s="1"/>
      <c r="F193" s="1"/>
      <c r="U193" s="16"/>
      <c r="V193" s="1"/>
    </row>
    <row r="194" spans="1:22" x14ac:dyDescent="0.25">
      <c r="A194" s="1"/>
      <c r="C194" s="1"/>
      <c r="D194" s="1"/>
      <c r="E194" s="1"/>
      <c r="F194" s="1"/>
      <c r="U194" s="16"/>
      <c r="V194" s="1"/>
    </row>
    <row r="195" spans="1:22" x14ac:dyDescent="0.25">
      <c r="A195" s="1"/>
      <c r="C195" s="1"/>
      <c r="D195" s="1"/>
      <c r="E195" s="1"/>
      <c r="F195" s="1"/>
      <c r="U195" s="16"/>
      <c r="V195" s="1"/>
    </row>
    <row r="196" spans="1:22" x14ac:dyDescent="0.25">
      <c r="A196" s="1"/>
      <c r="C196" s="1"/>
      <c r="D196" s="1"/>
      <c r="E196" s="1"/>
      <c r="F196" s="1"/>
      <c r="U196" s="16"/>
      <c r="V196" s="1"/>
    </row>
    <row r="197" spans="1:22" x14ac:dyDescent="0.25">
      <c r="A197" s="1"/>
      <c r="C197" s="1"/>
      <c r="D197" s="1"/>
      <c r="E197" s="1"/>
      <c r="F197" s="1"/>
      <c r="U197" s="16"/>
      <c r="V197" s="1"/>
    </row>
    <row r="198" spans="1:22" x14ac:dyDescent="0.25">
      <c r="A198" s="1"/>
      <c r="C198" s="1"/>
      <c r="D198" s="1"/>
      <c r="E198" s="1"/>
      <c r="F198" s="1"/>
      <c r="U198" s="16"/>
      <c r="V198" s="1"/>
    </row>
    <row r="199" spans="1:22" x14ac:dyDescent="0.25">
      <c r="A199" s="1"/>
      <c r="C199" s="1"/>
      <c r="D199" s="1"/>
      <c r="E199" s="1"/>
      <c r="F199" s="1"/>
      <c r="U199" s="16"/>
      <c r="V199" s="1"/>
    </row>
    <row r="200" spans="1:22" x14ac:dyDescent="0.25">
      <c r="A200" s="1"/>
      <c r="C200" s="1"/>
      <c r="D200" s="1"/>
      <c r="E200" s="1"/>
      <c r="F200" s="1"/>
      <c r="U200" s="16"/>
      <c r="V200" s="1"/>
    </row>
    <row r="201" spans="1:22" x14ac:dyDescent="0.25">
      <c r="A201" s="1"/>
      <c r="C201" s="1"/>
      <c r="D201" s="1"/>
      <c r="E201" s="1"/>
      <c r="F201" s="1"/>
      <c r="U201" s="16"/>
      <c r="V201" s="1"/>
    </row>
    <row r="202" spans="1:22" x14ac:dyDescent="0.25">
      <c r="A202" s="1"/>
      <c r="C202" s="1"/>
      <c r="D202" s="1"/>
      <c r="E202" s="1"/>
      <c r="F202" s="1"/>
      <c r="U202" s="16"/>
      <c r="V202" s="1"/>
    </row>
    <row r="203" spans="1:22" x14ac:dyDescent="0.25">
      <c r="A203" s="1"/>
      <c r="C203" s="1"/>
      <c r="D203" s="1"/>
      <c r="E203" s="1"/>
      <c r="F203" s="1"/>
      <c r="U203" s="16"/>
      <c r="V203" s="1"/>
    </row>
    <row r="204" spans="1:22" x14ac:dyDescent="0.25">
      <c r="A204" s="1"/>
      <c r="C204" s="1"/>
      <c r="D204" s="1"/>
      <c r="E204" s="1"/>
      <c r="F204" s="1"/>
      <c r="U204" s="16"/>
      <c r="V204" s="1"/>
    </row>
    <row r="205" spans="1:22" x14ac:dyDescent="0.25">
      <c r="A205" s="1"/>
      <c r="C205" s="1"/>
      <c r="D205" s="1"/>
      <c r="E205" s="1"/>
      <c r="F205" s="1"/>
      <c r="U205" s="16"/>
      <c r="V205" s="1"/>
    </row>
    <row r="206" spans="1:22" x14ac:dyDescent="0.25">
      <c r="A206" s="1"/>
      <c r="C206" s="1"/>
      <c r="D206" s="1"/>
      <c r="E206" s="1"/>
      <c r="F206" s="1"/>
      <c r="U206" s="16"/>
      <c r="V206" s="1"/>
    </row>
    <row r="207" spans="1:22" x14ac:dyDescent="0.25">
      <c r="A207" s="1"/>
      <c r="C207" s="1"/>
      <c r="D207" s="1"/>
      <c r="E207" s="1"/>
      <c r="F207" s="1"/>
      <c r="U207" s="16"/>
      <c r="V207" s="1"/>
    </row>
    <row r="208" spans="1:22" x14ac:dyDescent="0.25">
      <c r="A208" s="1"/>
      <c r="C208" s="1"/>
      <c r="D208" s="1"/>
      <c r="E208" s="1"/>
      <c r="F208" s="1"/>
      <c r="U208" s="16"/>
      <c r="V208" s="1"/>
    </row>
    <row r="209" spans="1:22" x14ac:dyDescent="0.25">
      <c r="A209" s="1"/>
      <c r="C209" s="1"/>
      <c r="D209" s="1"/>
      <c r="E209" s="1"/>
      <c r="F209" s="1"/>
      <c r="U209" s="16"/>
      <c r="V209" s="1"/>
    </row>
    <row r="210" spans="1:22" x14ac:dyDescent="0.25">
      <c r="A210" s="1"/>
      <c r="C210" s="1"/>
      <c r="D210" s="1"/>
      <c r="E210" s="1"/>
      <c r="F210" s="1"/>
      <c r="U210" s="16"/>
      <c r="V210" s="1"/>
    </row>
    <row r="211" spans="1:22" x14ac:dyDescent="0.25">
      <c r="A211" s="1"/>
      <c r="C211" s="1"/>
      <c r="D211" s="1"/>
      <c r="E211" s="1"/>
      <c r="F211" s="1"/>
      <c r="U211" s="16"/>
      <c r="V211" s="1"/>
    </row>
    <row r="212" spans="1:22" x14ac:dyDescent="0.25">
      <c r="A212" s="1"/>
      <c r="C212" s="1"/>
      <c r="D212" s="1"/>
      <c r="E212" s="1"/>
      <c r="F212" s="1"/>
      <c r="U212" s="16"/>
      <c r="V212" s="1"/>
    </row>
    <row r="213" spans="1:22" x14ac:dyDescent="0.25">
      <c r="A213" s="1"/>
      <c r="C213" s="1"/>
      <c r="D213" s="1"/>
      <c r="E213" s="1"/>
      <c r="F213" s="1"/>
      <c r="U213" s="16"/>
      <c r="V213" s="1"/>
    </row>
    <row r="214" spans="1:22" x14ac:dyDescent="0.25">
      <c r="A214" s="1"/>
      <c r="C214" s="1"/>
      <c r="D214" s="1"/>
      <c r="E214" s="1"/>
      <c r="F214" s="1"/>
      <c r="U214" s="16"/>
      <c r="V214" s="1"/>
    </row>
    <row r="215" spans="1:22" x14ac:dyDescent="0.25">
      <c r="A215" s="1"/>
      <c r="C215" s="1"/>
      <c r="D215" s="1"/>
      <c r="E215" s="1"/>
      <c r="F215" s="1"/>
      <c r="U215" s="16"/>
      <c r="V215" s="1"/>
    </row>
    <row r="216" spans="1:22" x14ac:dyDescent="0.25">
      <c r="A216" s="1"/>
      <c r="C216" s="1"/>
      <c r="D216" s="1"/>
      <c r="E216" s="1"/>
      <c r="F216" s="1"/>
      <c r="U216" s="16"/>
      <c r="V216" s="1"/>
    </row>
    <row r="217" spans="1:22" x14ac:dyDescent="0.25">
      <c r="A217" s="1"/>
      <c r="C217" s="1"/>
      <c r="D217" s="1"/>
      <c r="E217" s="1"/>
      <c r="F217" s="1"/>
      <c r="U217" s="16"/>
      <c r="V217" s="1"/>
    </row>
    <row r="218" spans="1:22" x14ac:dyDescent="0.25">
      <c r="A218" s="1"/>
      <c r="C218" s="1"/>
      <c r="D218" s="1"/>
      <c r="E218" s="1"/>
      <c r="F218" s="1"/>
      <c r="U218" s="16"/>
      <c r="V218" s="1"/>
    </row>
    <row r="219" spans="1:22" x14ac:dyDescent="0.25">
      <c r="A219" s="1"/>
      <c r="C219" s="1"/>
      <c r="D219" s="1"/>
      <c r="E219" s="1"/>
      <c r="F219" s="1"/>
      <c r="U219" s="16"/>
      <c r="V219" s="1"/>
    </row>
    <row r="220" spans="1:22" x14ac:dyDescent="0.25">
      <c r="A220" s="1"/>
      <c r="C220" s="1"/>
      <c r="D220" s="1"/>
      <c r="E220" s="1"/>
      <c r="F220" s="1"/>
      <c r="U220" s="16"/>
      <c r="V220" s="1"/>
    </row>
    <row r="221" spans="1:22" x14ac:dyDescent="0.25">
      <c r="A221" s="1"/>
      <c r="C221" s="1"/>
      <c r="D221" s="1"/>
      <c r="E221" s="1"/>
      <c r="F221" s="1"/>
      <c r="U221" s="16"/>
      <c r="V221" s="1"/>
    </row>
    <row r="222" spans="1:22" x14ac:dyDescent="0.25">
      <c r="A222" s="1"/>
      <c r="C222" s="1"/>
      <c r="D222" s="1"/>
      <c r="E222" s="1"/>
      <c r="F222" s="1"/>
      <c r="U222" s="16"/>
      <c r="V222" s="1"/>
    </row>
    <row r="223" spans="1:22" x14ac:dyDescent="0.25">
      <c r="A223" s="1"/>
      <c r="C223" s="1"/>
      <c r="D223" s="1"/>
      <c r="E223" s="1"/>
      <c r="F223" s="1"/>
      <c r="U223" s="16"/>
      <c r="V223" s="1"/>
    </row>
    <row r="224" spans="1:22" x14ac:dyDescent="0.25">
      <c r="A224" s="1"/>
      <c r="C224" s="1"/>
      <c r="D224" s="1"/>
      <c r="E224" s="1"/>
      <c r="F224" s="1"/>
      <c r="U224" s="16"/>
      <c r="V224" s="1"/>
    </row>
    <row r="225" spans="1:22" x14ac:dyDescent="0.25">
      <c r="A225" s="1"/>
      <c r="C225" s="1"/>
      <c r="D225" s="1"/>
      <c r="E225" s="1"/>
      <c r="F225" s="1"/>
      <c r="U225" s="16"/>
      <c r="V225" s="1"/>
    </row>
    <row r="226" spans="1:22" x14ac:dyDescent="0.25">
      <c r="A226" s="1"/>
      <c r="C226" s="1"/>
      <c r="D226" s="1"/>
      <c r="E226" s="1"/>
      <c r="F226" s="1"/>
      <c r="U226" s="16"/>
      <c r="V226" s="1"/>
    </row>
    <row r="227" spans="1:22" x14ac:dyDescent="0.25">
      <c r="A227" s="1"/>
      <c r="C227" s="1"/>
      <c r="D227" s="1"/>
      <c r="E227" s="1"/>
      <c r="F227" s="1"/>
      <c r="U227" s="16"/>
      <c r="V227" s="1"/>
    </row>
    <row r="228" spans="1:22" x14ac:dyDescent="0.25">
      <c r="A228" s="1"/>
      <c r="C228" s="1"/>
      <c r="D228" s="1"/>
      <c r="E228" s="1"/>
      <c r="F228" s="1"/>
      <c r="U228" s="16"/>
      <c r="V228" s="1"/>
    </row>
    <row r="229" spans="1:22" x14ac:dyDescent="0.25">
      <c r="A229" s="1"/>
      <c r="C229" s="1"/>
      <c r="D229" s="1"/>
      <c r="E229" s="1"/>
      <c r="F229" s="1"/>
      <c r="U229" s="16"/>
      <c r="V229" s="1"/>
    </row>
    <row r="230" spans="1:22" x14ac:dyDescent="0.25">
      <c r="A230" s="1"/>
      <c r="C230" s="1"/>
      <c r="D230" s="1"/>
      <c r="E230" s="1"/>
      <c r="F230" s="1"/>
      <c r="U230" s="16"/>
      <c r="V230" s="1"/>
    </row>
    <row r="231" spans="1:22" x14ac:dyDescent="0.25">
      <c r="A231" s="1"/>
      <c r="C231" s="1"/>
      <c r="D231" s="1"/>
      <c r="E231" s="1"/>
      <c r="F231" s="1"/>
      <c r="U231" s="16"/>
      <c r="V231" s="1"/>
    </row>
    <row r="232" spans="1:22" x14ac:dyDescent="0.25">
      <c r="A232" s="1"/>
      <c r="C232" s="1"/>
      <c r="D232" s="1"/>
      <c r="E232" s="1"/>
      <c r="F232" s="1"/>
      <c r="U232" s="16"/>
      <c r="V232" s="1"/>
    </row>
    <row r="233" spans="1:22" x14ac:dyDescent="0.25">
      <c r="A233" s="1"/>
      <c r="C233" s="1"/>
      <c r="D233" s="1"/>
      <c r="E233" s="1"/>
      <c r="F233" s="1"/>
      <c r="U233" s="16"/>
      <c r="V233" s="1"/>
    </row>
    <row r="234" spans="1:22" x14ac:dyDescent="0.25">
      <c r="A234" s="1"/>
      <c r="C234" s="1"/>
      <c r="D234" s="1"/>
      <c r="E234" s="1"/>
      <c r="F234" s="1"/>
      <c r="U234" s="16"/>
      <c r="V234" s="1"/>
    </row>
    <row r="235" spans="1:22" x14ac:dyDescent="0.25">
      <c r="A235" s="1"/>
      <c r="C235" s="1"/>
      <c r="D235" s="1"/>
      <c r="E235" s="1"/>
      <c r="F235" s="1"/>
      <c r="U235" s="16"/>
      <c r="V235" s="1"/>
    </row>
    <row r="236" spans="1:22" x14ac:dyDescent="0.25">
      <c r="A236" s="1"/>
      <c r="C236" s="1"/>
      <c r="D236" s="1"/>
      <c r="E236" s="1"/>
      <c r="F236" s="1"/>
      <c r="U236" s="16"/>
      <c r="V236" s="1"/>
    </row>
    <row r="237" spans="1:22" x14ac:dyDescent="0.25">
      <c r="A237" s="1"/>
      <c r="C237" s="1"/>
      <c r="D237" s="1"/>
      <c r="E237" s="1"/>
      <c r="F237" s="1"/>
      <c r="U237" s="16"/>
      <c r="V237" s="1"/>
    </row>
    <row r="238" spans="1:22" x14ac:dyDescent="0.25">
      <c r="A238" s="1"/>
      <c r="C238" s="1"/>
      <c r="D238" s="1"/>
      <c r="E238" s="1"/>
      <c r="F238" s="1"/>
      <c r="U238" s="16"/>
      <c r="V238" s="1"/>
    </row>
    <row r="239" spans="1:22" x14ac:dyDescent="0.25">
      <c r="A239" s="1"/>
      <c r="C239" s="1"/>
      <c r="D239" s="1"/>
      <c r="E239" s="1"/>
      <c r="F239" s="1"/>
      <c r="U239" s="16"/>
      <c r="V239" s="1"/>
    </row>
    <row r="240" spans="1:22" x14ac:dyDescent="0.25">
      <c r="A240" s="1"/>
      <c r="C240" s="1"/>
      <c r="D240" s="1"/>
      <c r="E240" s="1"/>
      <c r="F240" s="1"/>
      <c r="U240" s="16"/>
      <c r="V240" s="1"/>
    </row>
    <row r="241" spans="1:22" x14ac:dyDescent="0.25">
      <c r="A241" s="1"/>
      <c r="C241" s="1"/>
      <c r="D241" s="1"/>
      <c r="E241" s="1"/>
      <c r="F241" s="1"/>
      <c r="U241" s="16"/>
      <c r="V241" s="1"/>
    </row>
    <row r="242" spans="1:22" x14ac:dyDescent="0.25">
      <c r="A242" s="1"/>
      <c r="C242" s="1"/>
      <c r="D242" s="1"/>
      <c r="E242" s="1"/>
      <c r="F242" s="1"/>
      <c r="U242" s="16"/>
      <c r="V242" s="1"/>
    </row>
    <row r="243" spans="1:22" x14ac:dyDescent="0.25">
      <c r="A243" s="1"/>
      <c r="C243" s="1"/>
      <c r="D243" s="1"/>
      <c r="E243" s="1"/>
      <c r="F243" s="1"/>
      <c r="U243" s="16"/>
      <c r="V243" s="1"/>
    </row>
    <row r="244" spans="1:22" x14ac:dyDescent="0.25">
      <c r="A244" s="1"/>
      <c r="C244" s="1"/>
      <c r="D244" s="1"/>
      <c r="E244" s="1"/>
      <c r="F244" s="1"/>
      <c r="U244" s="16"/>
      <c r="V244" s="1"/>
    </row>
    <row r="245" spans="1:22" x14ac:dyDescent="0.25">
      <c r="A245" s="1"/>
      <c r="C245" s="1"/>
      <c r="D245" s="1"/>
      <c r="E245" s="1"/>
      <c r="F245" s="1"/>
      <c r="U245" s="16"/>
      <c r="V245" s="1"/>
    </row>
    <row r="246" spans="1:22" x14ac:dyDescent="0.25">
      <c r="A246" s="1"/>
      <c r="C246" s="1"/>
      <c r="D246" s="1"/>
      <c r="E246" s="1"/>
      <c r="F246" s="1"/>
      <c r="U246" s="16"/>
      <c r="V246" s="1"/>
    </row>
    <row r="247" spans="1:22" x14ac:dyDescent="0.25">
      <c r="A247" s="1"/>
      <c r="C247" s="1"/>
      <c r="D247" s="1"/>
      <c r="E247" s="1"/>
      <c r="F247" s="1"/>
      <c r="U247" s="16"/>
      <c r="V247" s="1"/>
    </row>
    <row r="248" spans="1:22" x14ac:dyDescent="0.25">
      <c r="A248" s="1"/>
      <c r="C248" s="1"/>
      <c r="D248" s="1"/>
      <c r="E248" s="1"/>
      <c r="F248" s="1"/>
      <c r="U248" s="16"/>
      <c r="V248" s="1"/>
    </row>
    <row r="249" spans="1:22" x14ac:dyDescent="0.25">
      <c r="A249" s="1"/>
      <c r="C249" s="1"/>
      <c r="D249" s="1"/>
      <c r="E249" s="1"/>
      <c r="F249" s="1"/>
      <c r="U249" s="16"/>
      <c r="V249" s="1"/>
    </row>
    <row r="250" spans="1:22" x14ac:dyDescent="0.25">
      <c r="A250" s="1"/>
      <c r="C250" s="1"/>
      <c r="D250" s="1"/>
      <c r="E250" s="1"/>
      <c r="F250" s="1"/>
      <c r="U250" s="16"/>
      <c r="V250" s="1"/>
    </row>
    <row r="251" spans="1:22" x14ac:dyDescent="0.25">
      <c r="A251" s="1"/>
      <c r="C251" s="1"/>
      <c r="D251" s="1"/>
      <c r="E251" s="1"/>
      <c r="F251" s="1"/>
      <c r="U251" s="16"/>
      <c r="V251" s="1"/>
    </row>
    <row r="252" spans="1:22" x14ac:dyDescent="0.25">
      <c r="A252" s="1"/>
      <c r="C252" s="1"/>
      <c r="D252" s="1"/>
      <c r="E252" s="1"/>
      <c r="F252" s="1"/>
      <c r="U252" s="16"/>
      <c r="V252" s="1"/>
    </row>
    <row r="253" spans="1:22" x14ac:dyDescent="0.25">
      <c r="A253" s="1"/>
      <c r="C253" s="1"/>
      <c r="D253" s="1"/>
      <c r="E253" s="1"/>
      <c r="F253" s="1"/>
      <c r="U253" s="16"/>
      <c r="V253" s="1"/>
    </row>
    <row r="254" spans="1:22" x14ac:dyDescent="0.25">
      <c r="A254" s="1"/>
      <c r="C254" s="1"/>
      <c r="D254" s="1"/>
      <c r="E254" s="1"/>
      <c r="F254" s="1"/>
      <c r="U254" s="16"/>
      <c r="V254" s="1"/>
    </row>
    <row r="255" spans="1:22" x14ac:dyDescent="0.25">
      <c r="A255" s="1"/>
      <c r="C255" s="1"/>
      <c r="D255" s="1"/>
      <c r="E255" s="1"/>
      <c r="F255" s="1"/>
      <c r="U255" s="16"/>
      <c r="V255" s="1"/>
    </row>
    <row r="256" spans="1:22" x14ac:dyDescent="0.25">
      <c r="A256" s="1"/>
      <c r="C256" s="1"/>
      <c r="D256" s="1"/>
      <c r="E256" s="1"/>
      <c r="F256" s="1"/>
      <c r="U256" s="16"/>
      <c r="V256" s="1"/>
    </row>
    <row r="257" spans="1:22" x14ac:dyDescent="0.25">
      <c r="A257" s="1"/>
      <c r="C257" s="1"/>
      <c r="D257" s="1"/>
      <c r="E257" s="1"/>
      <c r="F257" s="1"/>
      <c r="U257" s="16"/>
      <c r="V257" s="1"/>
    </row>
    <row r="258" spans="1:22" x14ac:dyDescent="0.25">
      <c r="A258" s="1"/>
      <c r="C258" s="1"/>
      <c r="D258" s="1"/>
      <c r="E258" s="1"/>
      <c r="F258" s="1"/>
      <c r="U258" s="16"/>
      <c r="V258" s="1"/>
    </row>
    <row r="259" spans="1:22" x14ac:dyDescent="0.25">
      <c r="A259" s="1"/>
      <c r="C259" s="1"/>
      <c r="D259" s="1"/>
      <c r="E259" s="1"/>
      <c r="F259" s="1"/>
      <c r="U259" s="16"/>
      <c r="V259" s="1"/>
    </row>
    <row r="260" spans="1:22" x14ac:dyDescent="0.25">
      <c r="A260" s="1"/>
      <c r="C260" s="1"/>
      <c r="D260" s="1"/>
      <c r="E260" s="1"/>
      <c r="F260" s="1"/>
      <c r="U260" s="16"/>
      <c r="V260" s="1"/>
    </row>
    <row r="261" spans="1:22" x14ac:dyDescent="0.25">
      <c r="A261" s="1"/>
      <c r="C261" s="1"/>
      <c r="D261" s="1"/>
      <c r="E261" s="1"/>
      <c r="F261" s="1"/>
      <c r="U261" s="16"/>
      <c r="V261" s="1"/>
    </row>
    <row r="262" spans="1:22" x14ac:dyDescent="0.25">
      <c r="A262" s="1"/>
      <c r="C262" s="1"/>
      <c r="D262" s="1"/>
      <c r="E262" s="1"/>
      <c r="F262" s="1"/>
      <c r="U262" s="16"/>
      <c r="V262" s="1"/>
    </row>
    <row r="263" spans="1:22" x14ac:dyDescent="0.25">
      <c r="A263" s="1"/>
      <c r="C263" s="1"/>
      <c r="D263" s="1"/>
      <c r="E263" s="1"/>
      <c r="F263" s="1"/>
      <c r="U263" s="16"/>
      <c r="V263" s="1"/>
    </row>
    <row r="264" spans="1:22" x14ac:dyDescent="0.25">
      <c r="A264" s="1"/>
      <c r="C264" s="1"/>
      <c r="D264" s="1"/>
      <c r="E264" s="1"/>
      <c r="F264" s="1"/>
      <c r="U264" s="16"/>
      <c r="V264" s="1"/>
    </row>
    <row r="265" spans="1:22" x14ac:dyDescent="0.25">
      <c r="A265" s="1"/>
      <c r="C265" s="1"/>
      <c r="D265" s="1"/>
      <c r="E265" s="1"/>
      <c r="F265" s="1"/>
      <c r="U265" s="16"/>
      <c r="V265" s="1"/>
    </row>
    <row r="266" spans="1:22" x14ac:dyDescent="0.25">
      <c r="A266" s="1"/>
      <c r="C266" s="1"/>
      <c r="D266" s="1"/>
      <c r="E266" s="1"/>
      <c r="F266" s="1"/>
      <c r="U266" s="16"/>
      <c r="V266" s="1"/>
    </row>
    <row r="267" spans="1:22" x14ac:dyDescent="0.25">
      <c r="A267" s="1"/>
      <c r="C267" s="1"/>
      <c r="D267" s="1"/>
      <c r="E267" s="1"/>
      <c r="F267" s="1"/>
      <c r="U267" s="16"/>
      <c r="V267" s="1"/>
    </row>
    <row r="268" spans="1:22" x14ac:dyDescent="0.25">
      <c r="A268" s="1"/>
      <c r="C268" s="1"/>
      <c r="D268" s="1"/>
      <c r="E268" s="1"/>
      <c r="F268" s="1"/>
      <c r="U268" s="16"/>
      <c r="V268" s="1"/>
    </row>
    <row r="269" spans="1:22" x14ac:dyDescent="0.25">
      <c r="A269" s="1"/>
      <c r="C269" s="1"/>
      <c r="D269" s="1"/>
      <c r="E269" s="1"/>
      <c r="F269" s="1"/>
      <c r="U269" s="16"/>
      <c r="V269" s="1"/>
    </row>
    <row r="270" spans="1:22" x14ac:dyDescent="0.25">
      <c r="A270" s="1"/>
      <c r="C270" s="1"/>
      <c r="D270" s="1"/>
      <c r="E270" s="1"/>
      <c r="F270" s="1"/>
      <c r="U270" s="16"/>
      <c r="V270" s="1"/>
    </row>
    <row r="271" spans="1:22" x14ac:dyDescent="0.25">
      <c r="A271" s="1"/>
      <c r="C271" s="1"/>
      <c r="D271" s="1"/>
      <c r="E271" s="1"/>
      <c r="F271" s="1"/>
      <c r="U271" s="16"/>
      <c r="V271" s="1"/>
    </row>
    <row r="272" spans="1:22" x14ac:dyDescent="0.25">
      <c r="A272" s="1"/>
      <c r="C272" s="1"/>
      <c r="D272" s="1"/>
      <c r="E272" s="1"/>
      <c r="F272" s="1"/>
      <c r="U272" s="16"/>
      <c r="V272" s="1"/>
    </row>
    <row r="273" spans="1:22" x14ac:dyDescent="0.25">
      <c r="A273" s="1"/>
      <c r="C273" s="1"/>
      <c r="D273" s="1"/>
      <c r="E273" s="1"/>
      <c r="F273" s="1"/>
      <c r="U273" s="16"/>
      <c r="V273" s="1"/>
    </row>
    <row r="274" spans="1:22" x14ac:dyDescent="0.25">
      <c r="A274" s="1"/>
      <c r="C274" s="1"/>
      <c r="D274" s="1"/>
      <c r="E274" s="1"/>
      <c r="F274" s="1"/>
      <c r="U274" s="16"/>
      <c r="V274" s="1"/>
    </row>
    <row r="275" spans="1:22" x14ac:dyDescent="0.25">
      <c r="A275" s="1"/>
      <c r="C275" s="1"/>
      <c r="D275" s="1"/>
      <c r="E275" s="1"/>
      <c r="F275" s="1"/>
      <c r="U275" s="16"/>
      <c r="V275" s="1"/>
    </row>
    <row r="276" spans="1:22" x14ac:dyDescent="0.25">
      <c r="A276" s="1"/>
      <c r="C276" s="1"/>
      <c r="D276" s="1"/>
      <c r="E276" s="1"/>
      <c r="F276" s="1"/>
      <c r="U276" s="16"/>
      <c r="V276" s="1"/>
    </row>
    <row r="277" spans="1:22" x14ac:dyDescent="0.25">
      <c r="A277" s="1"/>
      <c r="C277" s="1"/>
      <c r="D277" s="1"/>
      <c r="E277" s="1"/>
      <c r="F277" s="1"/>
      <c r="U277" s="16"/>
      <c r="V277" s="1"/>
    </row>
    <row r="278" spans="1:22" x14ac:dyDescent="0.25">
      <c r="A278" s="1"/>
      <c r="C278" s="1"/>
      <c r="D278" s="1"/>
      <c r="E278" s="1"/>
      <c r="F278" s="1"/>
      <c r="U278" s="16"/>
      <c r="V278" s="1"/>
    </row>
    <row r="279" spans="1:22" x14ac:dyDescent="0.25">
      <c r="A279" s="1"/>
      <c r="C279" s="1"/>
      <c r="D279" s="1"/>
      <c r="E279" s="1"/>
      <c r="F279" s="1"/>
      <c r="U279" s="16"/>
      <c r="V279" s="1"/>
    </row>
    <row r="280" spans="1:22" x14ac:dyDescent="0.25">
      <c r="A280" s="1"/>
      <c r="C280" s="1"/>
      <c r="D280" s="1"/>
      <c r="E280" s="1"/>
      <c r="F280" s="1"/>
      <c r="U280" s="16"/>
      <c r="V280" s="1"/>
    </row>
    <row r="281" spans="1:22" x14ac:dyDescent="0.25">
      <c r="A281" s="1"/>
      <c r="C281" s="1"/>
      <c r="D281" s="1"/>
      <c r="E281" s="1"/>
      <c r="F281" s="1"/>
      <c r="U281" s="16"/>
      <c r="V281" s="1"/>
    </row>
    <row r="282" spans="1:22" x14ac:dyDescent="0.25">
      <c r="A282" s="1"/>
      <c r="C282" s="1"/>
      <c r="D282" s="1"/>
      <c r="E282" s="1"/>
      <c r="F282" s="1"/>
      <c r="U282" s="16"/>
      <c r="V282" s="1"/>
    </row>
    <row r="283" spans="1:22" x14ac:dyDescent="0.25">
      <c r="A283" s="1"/>
      <c r="C283" s="1"/>
      <c r="D283" s="1"/>
      <c r="E283" s="1"/>
      <c r="F283" s="1"/>
      <c r="U283" s="16"/>
      <c r="V283" s="1"/>
    </row>
    <row r="284" spans="1:22" x14ac:dyDescent="0.25">
      <c r="A284" s="1"/>
      <c r="C284" s="1"/>
      <c r="D284" s="1"/>
      <c r="E284" s="1"/>
      <c r="F284" s="1"/>
      <c r="U284" s="16"/>
      <c r="V284" s="1"/>
    </row>
    <row r="285" spans="1:22" x14ac:dyDescent="0.25">
      <c r="A285" s="1"/>
      <c r="C285" s="1"/>
      <c r="D285" s="1"/>
      <c r="E285" s="1"/>
      <c r="F285" s="1"/>
      <c r="U285" s="16"/>
      <c r="V285" s="1"/>
    </row>
    <row r="286" spans="1:22" x14ac:dyDescent="0.25">
      <c r="A286" s="1"/>
      <c r="C286" s="1"/>
      <c r="D286" s="1"/>
      <c r="E286" s="1"/>
      <c r="F286" s="1"/>
      <c r="U286" s="16"/>
      <c r="V286" s="1"/>
    </row>
    <row r="287" spans="1:22" x14ac:dyDescent="0.25">
      <c r="A287" s="1"/>
      <c r="C287" s="1"/>
      <c r="D287" s="1"/>
      <c r="E287" s="1"/>
      <c r="F287" s="1"/>
      <c r="U287" s="16"/>
      <c r="V287" s="1"/>
    </row>
    <row r="288" spans="1:22" x14ac:dyDescent="0.25">
      <c r="A288" s="1"/>
      <c r="C288" s="1"/>
      <c r="D288" s="1"/>
      <c r="E288" s="1"/>
      <c r="F288" s="1"/>
      <c r="U288" s="16"/>
      <c r="V288" s="1"/>
    </row>
    <row r="289" spans="1:22" x14ac:dyDescent="0.25">
      <c r="A289" s="1"/>
      <c r="C289" s="1"/>
      <c r="D289" s="1"/>
      <c r="E289" s="1"/>
      <c r="F289" s="1"/>
      <c r="U289" s="16"/>
      <c r="V289" s="1"/>
    </row>
    <row r="290" spans="1:22" x14ac:dyDescent="0.25">
      <c r="A290" s="1"/>
      <c r="C290" s="1"/>
      <c r="D290" s="1"/>
      <c r="E290" s="1"/>
      <c r="F290" s="1"/>
      <c r="U290" s="16"/>
      <c r="V290" s="1"/>
    </row>
    <row r="291" spans="1:22" x14ac:dyDescent="0.25">
      <c r="A291" s="1"/>
      <c r="C291" s="1"/>
      <c r="D291" s="1"/>
      <c r="E291" s="1"/>
      <c r="F291" s="1"/>
      <c r="U291" s="16"/>
      <c r="V291" s="1"/>
    </row>
    <row r="292" spans="1:22" x14ac:dyDescent="0.25">
      <c r="A292" s="1"/>
      <c r="C292" s="1"/>
      <c r="D292" s="1"/>
      <c r="E292" s="1"/>
      <c r="F292" s="1"/>
      <c r="U292" s="16"/>
      <c r="V292" s="1"/>
    </row>
    <row r="293" spans="1:22" x14ac:dyDescent="0.25">
      <c r="A293" s="1"/>
      <c r="C293" s="1"/>
      <c r="D293" s="1"/>
      <c r="E293" s="1"/>
      <c r="F293" s="1"/>
      <c r="U293" s="16"/>
      <c r="V293" s="1"/>
    </row>
    <row r="294" spans="1:22" x14ac:dyDescent="0.25">
      <c r="A294" s="1"/>
      <c r="C294" s="1"/>
      <c r="D294" s="1"/>
      <c r="E294" s="1"/>
      <c r="F294" s="1"/>
      <c r="U294" s="16"/>
      <c r="V294" s="1"/>
    </row>
    <row r="295" spans="1:22" x14ac:dyDescent="0.25">
      <c r="A295" s="1"/>
      <c r="C295" s="1"/>
      <c r="D295" s="1"/>
      <c r="E295" s="1"/>
      <c r="F295" s="1"/>
      <c r="U295" s="16"/>
      <c r="V295" s="1"/>
    </row>
    <row r="296" spans="1:22" x14ac:dyDescent="0.25">
      <c r="A296" s="1"/>
      <c r="C296" s="1"/>
      <c r="D296" s="1"/>
      <c r="E296" s="1"/>
      <c r="F296" s="1"/>
      <c r="U296" s="16"/>
      <c r="V296" s="1"/>
    </row>
    <row r="297" spans="1:22" x14ac:dyDescent="0.25">
      <c r="A297" s="1"/>
      <c r="C297" s="1"/>
      <c r="D297" s="1"/>
      <c r="E297" s="1"/>
      <c r="F297" s="1"/>
      <c r="U297" s="16"/>
      <c r="V297" s="1"/>
    </row>
    <row r="298" spans="1:22" x14ac:dyDescent="0.25">
      <c r="A298" s="1"/>
      <c r="C298" s="1"/>
      <c r="D298" s="1"/>
      <c r="E298" s="1"/>
      <c r="F298" s="1"/>
      <c r="U298" s="16"/>
      <c r="V298" s="1"/>
    </row>
    <row r="299" spans="1:22" x14ac:dyDescent="0.25">
      <c r="A299" s="1"/>
      <c r="C299" s="1"/>
      <c r="D299" s="1"/>
      <c r="E299" s="1"/>
      <c r="F299" s="1"/>
      <c r="U299" s="16"/>
      <c r="V299" s="1"/>
    </row>
    <row r="300" spans="1:22" x14ac:dyDescent="0.25">
      <c r="A300" s="1"/>
      <c r="C300" s="1"/>
      <c r="D300" s="1"/>
      <c r="E300" s="1"/>
      <c r="F300" s="1"/>
      <c r="U300" s="16"/>
      <c r="V300" s="1"/>
    </row>
    <row r="301" spans="1:22" x14ac:dyDescent="0.25">
      <c r="A301" s="1"/>
      <c r="C301" s="1"/>
      <c r="D301" s="1"/>
      <c r="E301" s="1"/>
      <c r="F301" s="1"/>
      <c r="U301" s="16"/>
      <c r="V301" s="1"/>
    </row>
    <row r="302" spans="1:22" x14ac:dyDescent="0.25">
      <c r="A302" s="1"/>
      <c r="C302" s="1"/>
      <c r="D302" s="1"/>
      <c r="E302" s="1"/>
      <c r="F302" s="1"/>
      <c r="U302" s="16"/>
      <c r="V302" s="1"/>
    </row>
    <row r="303" spans="1:22" x14ac:dyDescent="0.25">
      <c r="A303" s="1"/>
      <c r="C303" s="1"/>
      <c r="D303" s="1"/>
      <c r="E303" s="1"/>
      <c r="F303" s="1"/>
      <c r="U303" s="16"/>
      <c r="V303" s="1"/>
    </row>
    <row r="304" spans="1:22" x14ac:dyDescent="0.25">
      <c r="A304" s="1"/>
      <c r="C304" s="1"/>
      <c r="D304" s="1"/>
      <c r="E304" s="1"/>
      <c r="F304" s="1"/>
      <c r="U304" s="16"/>
      <c r="V304" s="1"/>
    </row>
    <row r="305" spans="1:22" x14ac:dyDescent="0.25">
      <c r="A305" s="1"/>
      <c r="C305" s="1"/>
      <c r="D305" s="1"/>
      <c r="E305" s="1"/>
      <c r="F305" s="1"/>
      <c r="U305" s="16"/>
      <c r="V305" s="1"/>
    </row>
    <row r="306" spans="1:22" x14ac:dyDescent="0.25">
      <c r="A306" s="1"/>
      <c r="C306" s="1"/>
      <c r="D306" s="1"/>
      <c r="E306" s="1"/>
      <c r="F306" s="1"/>
      <c r="U306" s="16"/>
      <c r="V306" s="1"/>
    </row>
    <row r="307" spans="1:22" x14ac:dyDescent="0.25">
      <c r="A307" s="1"/>
      <c r="C307" s="1"/>
      <c r="D307" s="1"/>
      <c r="E307" s="1"/>
      <c r="F307" s="1"/>
      <c r="U307" s="16"/>
      <c r="V307" s="1"/>
    </row>
    <row r="308" spans="1:22" x14ac:dyDescent="0.25">
      <c r="A308" s="1"/>
      <c r="C308" s="1"/>
      <c r="D308" s="1"/>
      <c r="E308" s="1"/>
      <c r="F308" s="1"/>
      <c r="U308" s="16"/>
      <c r="V308" s="1"/>
    </row>
    <row r="309" spans="1:22" x14ac:dyDescent="0.25">
      <c r="A309" s="1"/>
      <c r="C309" s="1"/>
      <c r="D309" s="1"/>
      <c r="E309" s="1"/>
      <c r="F309" s="1"/>
      <c r="U309" s="16"/>
      <c r="V309" s="1"/>
    </row>
    <row r="310" spans="1:22" x14ac:dyDescent="0.25">
      <c r="A310" s="1"/>
      <c r="C310" s="1"/>
      <c r="D310" s="1"/>
      <c r="E310" s="1"/>
      <c r="F310" s="1"/>
      <c r="U310" s="16"/>
      <c r="V310" s="1"/>
    </row>
    <row r="311" spans="1:22" x14ac:dyDescent="0.25">
      <c r="A311" s="1"/>
      <c r="C311" s="1"/>
      <c r="D311" s="1"/>
      <c r="E311" s="1"/>
      <c r="F311" s="1"/>
      <c r="U311" s="16"/>
      <c r="V311" s="1"/>
    </row>
    <row r="312" spans="1:22" x14ac:dyDescent="0.25">
      <c r="A312" s="1"/>
      <c r="C312" s="1"/>
      <c r="D312" s="1"/>
      <c r="E312" s="1"/>
      <c r="F312" s="1"/>
      <c r="U312" s="16"/>
      <c r="V312" s="1"/>
    </row>
    <row r="313" spans="1:22" x14ac:dyDescent="0.25">
      <c r="A313" s="1"/>
      <c r="C313" s="1"/>
      <c r="D313" s="1"/>
      <c r="E313" s="1"/>
      <c r="F313" s="1"/>
      <c r="U313" s="16"/>
      <c r="V313" s="1"/>
    </row>
    <row r="314" spans="1:22" x14ac:dyDescent="0.25">
      <c r="A314" s="1"/>
      <c r="C314" s="1"/>
      <c r="D314" s="1"/>
      <c r="E314" s="1"/>
      <c r="F314" s="1"/>
      <c r="U314" s="16"/>
      <c r="V314" s="1"/>
    </row>
    <row r="315" spans="1:22" x14ac:dyDescent="0.25">
      <c r="A315" s="1"/>
      <c r="C315" s="1"/>
      <c r="D315" s="1"/>
      <c r="E315" s="1"/>
      <c r="F315" s="1"/>
      <c r="U315" s="16"/>
      <c r="V315" s="1"/>
    </row>
    <row r="316" spans="1:22" x14ac:dyDescent="0.25">
      <c r="A316" s="1"/>
      <c r="C316" s="1"/>
      <c r="D316" s="1"/>
      <c r="E316" s="1"/>
      <c r="F316" s="1"/>
      <c r="U316" s="16"/>
      <c r="V316" s="1"/>
    </row>
    <row r="317" spans="1:22" x14ac:dyDescent="0.25">
      <c r="A317" s="1"/>
      <c r="C317" s="1"/>
      <c r="D317" s="1"/>
      <c r="E317" s="1"/>
      <c r="F317" s="1"/>
      <c r="U317" s="16"/>
      <c r="V317" s="1"/>
    </row>
    <row r="318" spans="1:22" x14ac:dyDescent="0.25">
      <c r="A318" s="1"/>
      <c r="C318" s="1"/>
      <c r="D318" s="1"/>
      <c r="E318" s="1"/>
      <c r="F318" s="1"/>
      <c r="U318" s="16"/>
      <c r="V318" s="1"/>
    </row>
    <row r="319" spans="1:22" x14ac:dyDescent="0.25">
      <c r="A319" s="1"/>
      <c r="C319" s="1"/>
      <c r="D319" s="1"/>
      <c r="E319" s="1"/>
      <c r="F319" s="1"/>
      <c r="U319" s="16"/>
      <c r="V319" s="1"/>
    </row>
    <row r="320" spans="1:22" x14ac:dyDescent="0.25">
      <c r="A320" s="1"/>
      <c r="C320" s="1"/>
      <c r="D320" s="1"/>
      <c r="E320" s="1"/>
      <c r="F320" s="1"/>
      <c r="U320" s="16"/>
      <c r="V320" s="1"/>
    </row>
    <row r="321" spans="1:22" x14ac:dyDescent="0.25">
      <c r="A321" s="1"/>
      <c r="C321" s="1"/>
      <c r="D321" s="1"/>
      <c r="E321" s="1"/>
      <c r="F321" s="1"/>
      <c r="U321" s="16"/>
      <c r="V321" s="1"/>
    </row>
    <row r="322" spans="1:22" x14ac:dyDescent="0.25">
      <c r="A322" s="1"/>
      <c r="C322" s="1"/>
      <c r="D322" s="1"/>
      <c r="E322" s="1"/>
      <c r="F322" s="1"/>
      <c r="U322" s="16"/>
      <c r="V322" s="1"/>
    </row>
    <row r="323" spans="1:22" x14ac:dyDescent="0.25">
      <c r="A323" s="1"/>
      <c r="C323" s="1"/>
      <c r="D323" s="1"/>
      <c r="E323" s="1"/>
      <c r="F323" s="1"/>
      <c r="U323" s="16"/>
      <c r="V323" s="1"/>
    </row>
    <row r="324" spans="1:22" x14ac:dyDescent="0.25">
      <c r="A324" s="1"/>
      <c r="C324" s="1"/>
      <c r="D324" s="1"/>
      <c r="E324" s="1"/>
      <c r="F324" s="1"/>
      <c r="U324" s="16"/>
      <c r="V324" s="1"/>
    </row>
    <row r="325" spans="1:22" x14ac:dyDescent="0.25">
      <c r="A325" s="1"/>
      <c r="C325" s="1"/>
      <c r="D325" s="1"/>
      <c r="E325" s="1"/>
      <c r="F325" s="1"/>
      <c r="U325" s="16"/>
      <c r="V325" s="1"/>
    </row>
    <row r="326" spans="1:22" x14ac:dyDescent="0.25">
      <c r="A326" s="1"/>
      <c r="C326" s="1"/>
      <c r="D326" s="1"/>
      <c r="E326" s="1"/>
      <c r="F326" s="1"/>
      <c r="U326" s="16"/>
      <c r="V326" s="1"/>
    </row>
    <row r="327" spans="1:22" x14ac:dyDescent="0.25">
      <c r="A327" s="1"/>
      <c r="C327" s="1"/>
      <c r="D327" s="1"/>
      <c r="E327" s="1"/>
      <c r="F327" s="1"/>
      <c r="U327" s="16"/>
      <c r="V327" s="1"/>
    </row>
    <row r="328" spans="1:22" x14ac:dyDescent="0.25">
      <c r="A328" s="1"/>
      <c r="C328" s="1"/>
      <c r="D328" s="1"/>
      <c r="E328" s="1"/>
      <c r="F328" s="1"/>
      <c r="U328" s="16"/>
      <c r="V328" s="1"/>
    </row>
    <row r="329" spans="1:22" x14ac:dyDescent="0.25">
      <c r="A329" s="1"/>
      <c r="C329" s="1"/>
      <c r="D329" s="1"/>
      <c r="E329" s="1"/>
      <c r="F329" s="1"/>
      <c r="U329" s="16"/>
      <c r="V329" s="1"/>
    </row>
    <row r="330" spans="1:22" x14ac:dyDescent="0.25">
      <c r="A330" s="1"/>
      <c r="C330" s="1"/>
      <c r="D330" s="1"/>
      <c r="E330" s="1"/>
      <c r="F330" s="1"/>
      <c r="U330" s="16"/>
      <c r="V330" s="1"/>
    </row>
    <row r="331" spans="1:22" x14ac:dyDescent="0.25">
      <c r="A331" s="1"/>
      <c r="C331" s="1"/>
      <c r="D331" s="1"/>
      <c r="E331" s="1"/>
      <c r="F331" s="1"/>
      <c r="U331" s="16"/>
      <c r="V331" s="1"/>
    </row>
    <row r="332" spans="1:22" x14ac:dyDescent="0.25">
      <c r="A332" s="1"/>
      <c r="C332" s="1"/>
      <c r="D332" s="1"/>
      <c r="E332" s="1"/>
      <c r="F332" s="1"/>
      <c r="U332" s="16"/>
      <c r="V332" s="1"/>
    </row>
    <row r="333" spans="1:22" x14ac:dyDescent="0.25">
      <c r="A333" s="1"/>
      <c r="C333" s="1"/>
      <c r="D333" s="1"/>
      <c r="E333" s="1"/>
      <c r="F333" s="1"/>
      <c r="U333" s="16"/>
      <c r="V333" s="1"/>
    </row>
    <row r="334" spans="1:22" x14ac:dyDescent="0.25">
      <c r="A334" s="1"/>
      <c r="C334" s="1"/>
      <c r="D334" s="1"/>
      <c r="E334" s="1"/>
      <c r="F334" s="1"/>
      <c r="U334" s="16"/>
      <c r="V334" s="1"/>
    </row>
    <row r="335" spans="1:22" x14ac:dyDescent="0.25">
      <c r="A335" s="1"/>
      <c r="C335" s="1"/>
      <c r="D335" s="1"/>
      <c r="E335" s="1"/>
      <c r="F335" s="1"/>
      <c r="U335" s="16"/>
      <c r="V335" s="1"/>
    </row>
    <row r="336" spans="1:22" x14ac:dyDescent="0.25">
      <c r="A336" s="1"/>
      <c r="C336" s="1"/>
      <c r="D336" s="1"/>
      <c r="E336" s="1"/>
      <c r="F336" s="1"/>
      <c r="U336" s="16"/>
      <c r="V336" s="1"/>
    </row>
    <row r="337" spans="1:22" x14ac:dyDescent="0.25">
      <c r="A337" s="1"/>
      <c r="C337" s="1"/>
      <c r="D337" s="1"/>
      <c r="E337" s="1"/>
      <c r="F337" s="1"/>
      <c r="U337" s="16"/>
      <c r="V337" s="1"/>
    </row>
    <row r="338" spans="1:22" x14ac:dyDescent="0.25">
      <c r="A338" s="1"/>
      <c r="C338" s="1"/>
      <c r="D338" s="1"/>
      <c r="E338" s="1"/>
      <c r="F338" s="1"/>
      <c r="U338" s="16"/>
      <c r="V338" s="1"/>
    </row>
    <row r="339" spans="1:22" x14ac:dyDescent="0.25">
      <c r="A339" s="1"/>
      <c r="C339" s="1"/>
      <c r="D339" s="1"/>
      <c r="E339" s="1"/>
      <c r="F339" s="1"/>
      <c r="U339" s="16"/>
      <c r="V339" s="1"/>
    </row>
    <row r="340" spans="1:22" x14ac:dyDescent="0.25">
      <c r="A340" s="1"/>
      <c r="C340" s="1"/>
      <c r="D340" s="1"/>
      <c r="E340" s="1"/>
      <c r="F340" s="1"/>
      <c r="U340" s="16"/>
      <c r="V340" s="1"/>
    </row>
    <row r="341" spans="1:22" x14ac:dyDescent="0.25">
      <c r="A341" s="1"/>
      <c r="C341" s="1"/>
      <c r="D341" s="1"/>
      <c r="E341" s="1"/>
      <c r="F341" s="1"/>
      <c r="U341" s="16"/>
      <c r="V341" s="1"/>
    </row>
    <row r="342" spans="1:22" x14ac:dyDescent="0.25">
      <c r="A342" s="1"/>
      <c r="C342" s="1"/>
      <c r="D342" s="1"/>
      <c r="E342" s="1"/>
      <c r="F342" s="1"/>
      <c r="U342" s="16"/>
      <c r="V342" s="1"/>
    </row>
    <row r="343" spans="1:22" x14ac:dyDescent="0.25">
      <c r="A343" s="1"/>
      <c r="C343" s="1"/>
      <c r="D343" s="1"/>
      <c r="E343" s="1"/>
      <c r="F343" s="1"/>
      <c r="U343" s="16"/>
      <c r="V343" s="1"/>
    </row>
    <row r="344" spans="1:22" x14ac:dyDescent="0.25">
      <c r="A344" s="1"/>
      <c r="C344" s="1"/>
      <c r="D344" s="1"/>
      <c r="E344" s="1"/>
      <c r="F344" s="1"/>
      <c r="U344" s="16"/>
      <c r="V344" s="1"/>
    </row>
    <row r="345" spans="1:22" x14ac:dyDescent="0.25">
      <c r="A345" s="1"/>
      <c r="C345" s="1"/>
      <c r="D345" s="1"/>
      <c r="E345" s="1"/>
      <c r="F345" s="1"/>
      <c r="U345" s="16"/>
      <c r="V345" s="1"/>
    </row>
    <row r="346" spans="1:22" x14ac:dyDescent="0.25">
      <c r="A346" s="1"/>
      <c r="C346" s="1"/>
      <c r="D346" s="1"/>
      <c r="E346" s="1"/>
      <c r="F346" s="1"/>
      <c r="U346" s="16"/>
      <c r="V346" s="1"/>
    </row>
    <row r="347" spans="1:22" x14ac:dyDescent="0.25">
      <c r="A347" s="1"/>
      <c r="C347" s="1"/>
      <c r="D347" s="1"/>
      <c r="E347" s="1"/>
      <c r="F347" s="1"/>
      <c r="U347" s="16"/>
      <c r="V347" s="1"/>
    </row>
    <row r="348" spans="1:22" x14ac:dyDescent="0.25">
      <c r="A348" s="1"/>
      <c r="C348" s="1"/>
      <c r="D348" s="1"/>
      <c r="E348" s="1"/>
      <c r="F348" s="1"/>
      <c r="U348" s="16"/>
      <c r="V348" s="1"/>
    </row>
    <row r="349" spans="1:22" x14ac:dyDescent="0.25">
      <c r="A349" s="1"/>
      <c r="C349" s="1"/>
      <c r="D349" s="1"/>
      <c r="E349" s="1"/>
      <c r="F349" s="1"/>
      <c r="U349" s="16"/>
      <c r="V349" s="1"/>
    </row>
    <row r="350" spans="1:22" x14ac:dyDescent="0.25">
      <c r="A350" s="1"/>
      <c r="C350" s="1"/>
      <c r="D350" s="1"/>
      <c r="E350" s="1"/>
      <c r="F350" s="1"/>
      <c r="U350" s="16"/>
      <c r="V350" s="1"/>
    </row>
    <row r="351" spans="1:22" x14ac:dyDescent="0.25">
      <c r="A351" s="1"/>
      <c r="C351" s="1"/>
      <c r="D351" s="1"/>
      <c r="E351" s="1"/>
      <c r="F351" s="1"/>
      <c r="U351" s="16"/>
      <c r="V351" s="1"/>
    </row>
    <row r="352" spans="1:22" x14ac:dyDescent="0.25">
      <c r="A352" s="1"/>
      <c r="C352" s="1"/>
      <c r="D352" s="1"/>
      <c r="E352" s="1"/>
      <c r="F352" s="1"/>
      <c r="U352" s="16"/>
      <c r="V352" s="1"/>
    </row>
    <row r="353" spans="1:22" x14ac:dyDescent="0.25">
      <c r="A353" s="1"/>
      <c r="C353" s="1"/>
      <c r="D353" s="1"/>
      <c r="E353" s="1"/>
      <c r="F353" s="1"/>
      <c r="U353" s="16"/>
      <c r="V353" s="1"/>
    </row>
    <row r="354" spans="1:22" x14ac:dyDescent="0.25">
      <c r="A354" s="1"/>
      <c r="C354" s="1"/>
      <c r="D354" s="1"/>
      <c r="E354" s="1"/>
      <c r="F354" s="1"/>
      <c r="U354" s="16"/>
      <c r="V354" s="1"/>
    </row>
    <row r="355" spans="1:22" x14ac:dyDescent="0.25">
      <c r="A355" s="1"/>
      <c r="C355" s="1"/>
      <c r="D355" s="1"/>
      <c r="E355" s="1"/>
      <c r="F355" s="1"/>
      <c r="U355" s="16"/>
      <c r="V355" s="1"/>
    </row>
    <row r="356" spans="1:22" x14ac:dyDescent="0.25">
      <c r="A356" s="1"/>
      <c r="C356" s="1"/>
      <c r="D356" s="1"/>
      <c r="E356" s="1"/>
      <c r="F356" s="1"/>
      <c r="U356" s="16"/>
      <c r="V356" s="1"/>
    </row>
    <row r="357" spans="1:22" x14ac:dyDescent="0.25">
      <c r="A357" s="1"/>
      <c r="C357" s="1"/>
      <c r="D357" s="1"/>
      <c r="E357" s="1"/>
      <c r="F357" s="1"/>
      <c r="U357" s="16"/>
      <c r="V357" s="1"/>
    </row>
    <row r="358" spans="1:22" x14ac:dyDescent="0.25">
      <c r="A358" s="1"/>
      <c r="C358" s="1"/>
      <c r="D358" s="1"/>
      <c r="E358" s="1"/>
      <c r="F358" s="1"/>
      <c r="U358" s="16"/>
      <c r="V358" s="1"/>
    </row>
    <row r="359" spans="1:22" x14ac:dyDescent="0.25">
      <c r="A359" s="1"/>
      <c r="C359" s="1"/>
      <c r="D359" s="1"/>
      <c r="E359" s="1"/>
      <c r="F359" s="1"/>
      <c r="U359" s="16"/>
      <c r="V359" s="1"/>
    </row>
    <row r="360" spans="1:22" x14ac:dyDescent="0.25">
      <c r="A360" s="1"/>
      <c r="C360" s="1"/>
      <c r="D360" s="1"/>
      <c r="E360" s="1"/>
      <c r="F360" s="1"/>
      <c r="U360" s="16"/>
      <c r="V360" s="1"/>
    </row>
    <row r="361" spans="1:22" x14ac:dyDescent="0.25">
      <c r="A361" s="1"/>
      <c r="C361" s="1"/>
      <c r="D361" s="1"/>
      <c r="E361" s="1"/>
      <c r="F361" s="1"/>
      <c r="U361" s="16"/>
      <c r="V361" s="1"/>
    </row>
    <row r="362" spans="1:22" x14ac:dyDescent="0.25">
      <c r="A362" s="1"/>
      <c r="C362" s="1"/>
      <c r="D362" s="1"/>
      <c r="E362" s="1"/>
      <c r="F362" s="1"/>
      <c r="U362" s="16"/>
      <c r="V362" s="1"/>
    </row>
    <row r="363" spans="1:22" x14ac:dyDescent="0.25">
      <c r="A363" s="1"/>
      <c r="C363" s="1"/>
      <c r="D363" s="1"/>
      <c r="E363" s="1"/>
      <c r="F363" s="1"/>
      <c r="U363" s="16"/>
      <c r="V363" s="1"/>
    </row>
    <row r="364" spans="1:22" x14ac:dyDescent="0.25">
      <c r="A364" s="1"/>
      <c r="C364" s="1"/>
      <c r="D364" s="1"/>
      <c r="E364" s="1"/>
      <c r="F364" s="1"/>
      <c r="U364" s="16"/>
      <c r="V364" s="1"/>
    </row>
    <row r="365" spans="1:22" x14ac:dyDescent="0.25">
      <c r="A365" s="1"/>
      <c r="C365" s="1"/>
      <c r="D365" s="1"/>
      <c r="E365" s="1"/>
      <c r="F365" s="1"/>
      <c r="U365" s="16"/>
      <c r="V365" s="1"/>
    </row>
    <row r="366" spans="1:22" x14ac:dyDescent="0.25">
      <c r="A366" s="1"/>
      <c r="C366" s="1"/>
      <c r="D366" s="1"/>
      <c r="E366" s="1"/>
      <c r="F366" s="1"/>
      <c r="U366" s="16"/>
      <c r="V366" s="1"/>
    </row>
    <row r="367" spans="1:22" x14ac:dyDescent="0.25">
      <c r="A367" s="1"/>
      <c r="C367" s="1"/>
      <c r="D367" s="1"/>
      <c r="E367" s="1"/>
      <c r="F367" s="1"/>
      <c r="U367" s="16"/>
      <c r="V367" s="1"/>
    </row>
    <row r="368" spans="1:22" x14ac:dyDescent="0.25">
      <c r="A368" s="1"/>
      <c r="C368" s="1"/>
      <c r="D368" s="1"/>
      <c r="E368" s="1"/>
      <c r="F368" s="1"/>
      <c r="U368" s="16"/>
      <c r="V368" s="1"/>
    </row>
    <row r="369" spans="1:22" x14ac:dyDescent="0.25">
      <c r="A369" s="1"/>
      <c r="C369" s="1"/>
      <c r="D369" s="1"/>
      <c r="E369" s="1"/>
      <c r="F369" s="1"/>
      <c r="U369" s="16"/>
      <c r="V369" s="1"/>
    </row>
    <row r="370" spans="1:22" x14ac:dyDescent="0.25">
      <c r="A370" s="1"/>
      <c r="C370" s="1"/>
      <c r="D370" s="1"/>
      <c r="E370" s="1"/>
      <c r="F370" s="1"/>
      <c r="U370" s="16"/>
      <c r="V370" s="1"/>
    </row>
    <row r="371" spans="1:22" x14ac:dyDescent="0.25">
      <c r="A371" s="1"/>
      <c r="C371" s="1"/>
      <c r="D371" s="1"/>
      <c r="E371" s="1"/>
      <c r="F371" s="1"/>
      <c r="U371" s="16"/>
      <c r="V371" s="1"/>
    </row>
    <row r="372" spans="1:22" x14ac:dyDescent="0.25">
      <c r="A372" s="1"/>
      <c r="C372" s="1"/>
      <c r="D372" s="1"/>
      <c r="E372" s="1"/>
      <c r="F372" s="1"/>
      <c r="U372" s="16"/>
      <c r="V372" s="1"/>
    </row>
    <row r="373" spans="1:22" x14ac:dyDescent="0.25">
      <c r="A373" s="1"/>
      <c r="C373" s="1"/>
      <c r="D373" s="1"/>
      <c r="E373" s="1"/>
      <c r="F373" s="1"/>
      <c r="U373" s="16"/>
      <c r="V373" s="1"/>
    </row>
    <row r="374" spans="1:22" x14ac:dyDescent="0.25">
      <c r="A374" s="1"/>
      <c r="C374" s="1"/>
      <c r="D374" s="1"/>
      <c r="E374" s="1"/>
      <c r="F374" s="1"/>
      <c r="U374" s="16"/>
      <c r="V374" s="1"/>
    </row>
    <row r="375" spans="1:22" x14ac:dyDescent="0.25">
      <c r="A375" s="1"/>
      <c r="C375" s="1"/>
      <c r="D375" s="1"/>
      <c r="E375" s="1"/>
      <c r="F375" s="1"/>
      <c r="U375" s="16"/>
      <c r="V375" s="1"/>
    </row>
    <row r="376" spans="1:22" x14ac:dyDescent="0.25">
      <c r="A376" s="1"/>
      <c r="C376" s="1"/>
      <c r="D376" s="1"/>
      <c r="E376" s="1"/>
      <c r="F376" s="1"/>
      <c r="U376" s="16"/>
      <c r="V376" s="1"/>
    </row>
    <row r="377" spans="1:22" x14ac:dyDescent="0.25">
      <c r="A377" s="1"/>
      <c r="C377" s="1"/>
      <c r="D377" s="1"/>
      <c r="E377" s="1"/>
      <c r="F377" s="1"/>
      <c r="U377" s="16"/>
      <c r="V377" s="1"/>
    </row>
    <row r="378" spans="1:22" x14ac:dyDescent="0.25">
      <c r="A378" s="1"/>
      <c r="C378" s="1"/>
      <c r="D378" s="1"/>
      <c r="E378" s="1"/>
      <c r="F378" s="1"/>
      <c r="U378" s="16"/>
      <c r="V378" s="1"/>
    </row>
    <row r="379" spans="1:22" x14ac:dyDescent="0.25">
      <c r="A379" s="1"/>
      <c r="C379" s="1"/>
      <c r="D379" s="1"/>
      <c r="E379" s="1"/>
      <c r="F379" s="1"/>
      <c r="U379" s="16"/>
      <c r="V379" s="1"/>
    </row>
    <row r="380" spans="1:22" x14ac:dyDescent="0.25">
      <c r="A380" s="1"/>
      <c r="C380" s="1"/>
      <c r="D380" s="1"/>
      <c r="E380" s="1"/>
      <c r="F380" s="1"/>
      <c r="U380" s="16"/>
      <c r="V380" s="1"/>
    </row>
    <row r="381" spans="1:22" x14ac:dyDescent="0.25">
      <c r="A381" s="1"/>
      <c r="C381" s="1"/>
      <c r="D381" s="1"/>
      <c r="E381" s="1"/>
      <c r="F381" s="1"/>
      <c r="U381" s="16"/>
      <c r="V381" s="1"/>
    </row>
    <row r="382" spans="1:22" x14ac:dyDescent="0.25">
      <c r="A382" s="1"/>
      <c r="C382" s="1"/>
      <c r="D382" s="1"/>
      <c r="E382" s="1"/>
      <c r="F382" s="1"/>
      <c r="U382" s="16"/>
      <c r="V382" s="1"/>
    </row>
    <row r="383" spans="1:22" x14ac:dyDescent="0.25">
      <c r="A383" s="1"/>
      <c r="C383" s="1"/>
      <c r="D383" s="1"/>
      <c r="E383" s="1"/>
      <c r="F383" s="1"/>
      <c r="U383" s="16"/>
      <c r="V383" s="1"/>
    </row>
    <row r="384" spans="1:22" x14ac:dyDescent="0.25">
      <c r="A384" s="1"/>
      <c r="C384" s="1"/>
      <c r="D384" s="1"/>
      <c r="E384" s="1"/>
      <c r="F384" s="1"/>
      <c r="U384" s="16"/>
      <c r="V384" s="1"/>
    </row>
    <row r="385" spans="1:22" x14ac:dyDescent="0.25">
      <c r="A385" s="1"/>
      <c r="C385" s="1"/>
      <c r="D385" s="1"/>
      <c r="E385" s="1"/>
      <c r="F385" s="1"/>
      <c r="U385" s="16"/>
      <c r="V385" s="1"/>
    </row>
    <row r="386" spans="1:22" x14ac:dyDescent="0.25">
      <c r="A386" s="1"/>
      <c r="C386" s="1"/>
      <c r="D386" s="1"/>
      <c r="E386" s="1"/>
      <c r="F386" s="1"/>
      <c r="U386" s="16"/>
      <c r="V386" s="1"/>
    </row>
    <row r="387" spans="1:22" x14ac:dyDescent="0.25">
      <c r="A387" s="1"/>
      <c r="C387" s="1"/>
      <c r="D387" s="1"/>
      <c r="E387" s="1"/>
      <c r="F387" s="1"/>
      <c r="U387" s="16"/>
      <c r="V387" s="1"/>
    </row>
    <row r="388" spans="1:22" x14ac:dyDescent="0.25">
      <c r="A388" s="1"/>
      <c r="C388" s="1"/>
      <c r="D388" s="1"/>
      <c r="E388" s="1"/>
      <c r="F388" s="1"/>
      <c r="U388" s="16"/>
      <c r="V388" s="1"/>
    </row>
    <row r="389" spans="1:22" x14ac:dyDescent="0.25">
      <c r="A389" s="1"/>
      <c r="C389" s="1"/>
      <c r="D389" s="1"/>
      <c r="E389" s="1"/>
      <c r="F389" s="1"/>
      <c r="U389" s="16"/>
      <c r="V389" s="1"/>
    </row>
    <row r="390" spans="1:22" x14ac:dyDescent="0.25">
      <c r="A390" s="1"/>
      <c r="C390" s="1"/>
      <c r="D390" s="1"/>
      <c r="E390" s="1"/>
      <c r="F390" s="1"/>
      <c r="U390" s="16"/>
      <c r="V390" s="1"/>
    </row>
    <row r="391" spans="1:22" x14ac:dyDescent="0.25">
      <c r="A391" s="1"/>
      <c r="C391" s="1"/>
      <c r="D391" s="1"/>
      <c r="E391" s="1"/>
      <c r="F391" s="1"/>
      <c r="U391" s="16"/>
      <c r="V391" s="1"/>
    </row>
    <row r="392" spans="1:22" x14ac:dyDescent="0.25">
      <c r="A392" s="1"/>
      <c r="C392" s="1"/>
      <c r="D392" s="1"/>
      <c r="E392" s="1"/>
      <c r="F392" s="1"/>
      <c r="U392" s="16"/>
      <c r="V392" s="1"/>
    </row>
    <row r="393" spans="1:22" x14ac:dyDescent="0.25">
      <c r="A393" s="1"/>
      <c r="C393" s="1"/>
      <c r="D393" s="1"/>
      <c r="E393" s="1"/>
      <c r="F393" s="1"/>
      <c r="U393" s="16"/>
      <c r="V393" s="1"/>
    </row>
    <row r="394" spans="1:22" x14ac:dyDescent="0.25">
      <c r="A394" s="1"/>
      <c r="C394" s="1"/>
      <c r="D394" s="1"/>
      <c r="E394" s="1"/>
      <c r="F394" s="1"/>
      <c r="U394" s="16"/>
      <c r="V394" s="1"/>
    </row>
    <row r="395" spans="1:22" x14ac:dyDescent="0.25">
      <c r="A395" s="1"/>
      <c r="C395" s="1"/>
      <c r="D395" s="1"/>
      <c r="E395" s="1"/>
      <c r="F395" s="1"/>
      <c r="U395" s="16"/>
      <c r="V395" s="1"/>
    </row>
    <row r="396" spans="1:22" x14ac:dyDescent="0.25">
      <c r="A396" s="1"/>
      <c r="C396" s="1"/>
      <c r="D396" s="1"/>
      <c r="E396" s="1"/>
      <c r="F396" s="1"/>
      <c r="U396" s="16"/>
      <c r="V396" s="1"/>
    </row>
    <row r="397" spans="1:22" x14ac:dyDescent="0.25">
      <c r="A397" s="1"/>
      <c r="C397" s="1"/>
      <c r="D397" s="1"/>
      <c r="E397" s="1"/>
      <c r="F397" s="1"/>
      <c r="U397" s="16"/>
      <c r="V397" s="1"/>
    </row>
    <row r="398" spans="1:22" x14ac:dyDescent="0.25">
      <c r="A398" s="1"/>
      <c r="C398" s="1"/>
      <c r="D398" s="1"/>
      <c r="E398" s="1"/>
      <c r="F398" s="1"/>
      <c r="U398" s="16"/>
      <c r="V398" s="1"/>
    </row>
    <row r="399" spans="1:22" x14ac:dyDescent="0.25">
      <c r="A399" s="1"/>
      <c r="C399" s="1"/>
      <c r="D399" s="1"/>
      <c r="E399" s="1"/>
      <c r="F399" s="1"/>
      <c r="U399" s="16"/>
      <c r="V399" s="1"/>
    </row>
    <row r="400" spans="1:22" x14ac:dyDescent="0.25">
      <c r="A400" s="1"/>
      <c r="C400" s="1"/>
      <c r="D400" s="1"/>
      <c r="E400" s="1"/>
      <c r="F400" s="1"/>
      <c r="U400" s="16"/>
      <c r="V400" s="1"/>
    </row>
    <row r="401" spans="1:22" x14ac:dyDescent="0.25">
      <c r="A401" s="1"/>
      <c r="C401" s="1"/>
      <c r="D401" s="1"/>
      <c r="E401" s="1"/>
      <c r="F401" s="1"/>
      <c r="U401" s="16"/>
      <c r="V401" s="1"/>
    </row>
    <row r="402" spans="1:22" x14ac:dyDescent="0.25">
      <c r="A402" s="1"/>
      <c r="C402" s="1"/>
      <c r="D402" s="1"/>
      <c r="E402" s="1"/>
      <c r="F402" s="1"/>
      <c r="U402" s="16"/>
      <c r="V402" s="1"/>
    </row>
    <row r="403" spans="1:22" x14ac:dyDescent="0.25">
      <c r="A403" s="1"/>
      <c r="C403" s="1"/>
      <c r="D403" s="1"/>
      <c r="E403" s="1"/>
      <c r="F403" s="1"/>
      <c r="U403" s="16"/>
      <c r="V403" s="1"/>
    </row>
    <row r="404" spans="1:22" x14ac:dyDescent="0.25">
      <c r="A404" s="1"/>
      <c r="C404" s="1"/>
      <c r="D404" s="1"/>
      <c r="E404" s="1"/>
      <c r="F404" s="1"/>
      <c r="U404" s="16"/>
      <c r="V404" s="1"/>
    </row>
    <row r="405" spans="1:22" x14ac:dyDescent="0.25">
      <c r="A405" s="1"/>
      <c r="C405" s="1"/>
      <c r="D405" s="1"/>
      <c r="E405" s="1"/>
      <c r="F405" s="1"/>
      <c r="U405" s="16"/>
      <c r="V405" s="1"/>
    </row>
    <row r="406" spans="1:22" x14ac:dyDescent="0.25">
      <c r="A406" s="1"/>
      <c r="C406" s="1"/>
      <c r="D406" s="1"/>
      <c r="E406" s="1"/>
      <c r="F406" s="1"/>
      <c r="U406" s="16"/>
      <c r="V406" s="1"/>
    </row>
    <row r="407" spans="1:22" x14ac:dyDescent="0.25">
      <c r="A407" s="1"/>
      <c r="C407" s="1"/>
      <c r="D407" s="1"/>
      <c r="E407" s="1"/>
      <c r="F407" s="1"/>
      <c r="U407" s="16"/>
      <c r="V407" s="1"/>
    </row>
    <row r="408" spans="1:22" x14ac:dyDescent="0.25">
      <c r="A408" s="1"/>
      <c r="C408" s="1"/>
      <c r="D408" s="1"/>
      <c r="E408" s="1"/>
      <c r="F408" s="1"/>
      <c r="U408" s="16"/>
      <c r="V408" s="1"/>
    </row>
    <row r="409" spans="1:22" x14ac:dyDescent="0.25">
      <c r="A409" s="1"/>
      <c r="C409" s="1"/>
      <c r="D409" s="1"/>
      <c r="E409" s="1"/>
      <c r="F409" s="1"/>
      <c r="U409" s="16"/>
      <c r="V409" s="1"/>
    </row>
    <row r="410" spans="1:22" x14ac:dyDescent="0.25">
      <c r="A410" s="1"/>
      <c r="C410" s="1"/>
      <c r="D410" s="1"/>
      <c r="E410" s="1"/>
      <c r="F410" s="1"/>
      <c r="U410" s="16"/>
      <c r="V410" s="1"/>
    </row>
    <row r="411" spans="1:22" x14ac:dyDescent="0.25">
      <c r="A411" s="1"/>
      <c r="C411" s="1"/>
      <c r="D411" s="1"/>
      <c r="E411" s="1"/>
      <c r="F411" s="1"/>
      <c r="U411" s="16"/>
      <c r="V411" s="1"/>
    </row>
    <row r="412" spans="1:22" x14ac:dyDescent="0.25">
      <c r="A412" s="1"/>
      <c r="C412" s="1"/>
      <c r="D412" s="1"/>
      <c r="E412" s="1"/>
      <c r="F412" s="1"/>
      <c r="U412" s="16"/>
      <c r="V412" s="1"/>
    </row>
    <row r="413" spans="1:22" x14ac:dyDescent="0.25">
      <c r="A413" s="1"/>
      <c r="C413" s="1"/>
      <c r="D413" s="1"/>
      <c r="E413" s="1"/>
      <c r="F413" s="1"/>
      <c r="U413" s="16"/>
      <c r="V413" s="1"/>
    </row>
    <row r="414" spans="1:22" x14ac:dyDescent="0.25">
      <c r="A414" s="1"/>
      <c r="C414" s="1"/>
      <c r="D414" s="1"/>
      <c r="E414" s="1"/>
      <c r="F414" s="1"/>
      <c r="U414" s="16"/>
      <c r="V414" s="1"/>
    </row>
    <row r="415" spans="1:22" x14ac:dyDescent="0.25">
      <c r="A415" s="1"/>
      <c r="C415" s="1"/>
      <c r="D415" s="1"/>
      <c r="E415" s="1"/>
      <c r="F415" s="1"/>
      <c r="U415" s="16"/>
      <c r="V415" s="1"/>
    </row>
    <row r="416" spans="1:22" x14ac:dyDescent="0.25">
      <c r="A416" s="1"/>
      <c r="C416" s="1"/>
      <c r="D416" s="1"/>
      <c r="E416" s="1"/>
      <c r="F416" s="1"/>
      <c r="U416" s="16"/>
      <c r="V416" s="1"/>
    </row>
    <row r="417" spans="1:22" x14ac:dyDescent="0.25">
      <c r="A417" s="1"/>
      <c r="C417" s="1"/>
      <c r="D417" s="1"/>
      <c r="E417" s="1"/>
      <c r="F417" s="1"/>
      <c r="U417" s="16"/>
      <c r="V417" s="1"/>
    </row>
    <row r="418" spans="1:22" x14ac:dyDescent="0.25">
      <c r="A418" s="1"/>
      <c r="C418" s="1"/>
      <c r="D418" s="1"/>
      <c r="E418" s="1"/>
      <c r="F418" s="1"/>
      <c r="U418" s="16"/>
      <c r="V418" s="1"/>
    </row>
    <row r="419" spans="1:22" x14ac:dyDescent="0.25">
      <c r="A419" s="1"/>
      <c r="C419" s="1"/>
      <c r="D419" s="1"/>
      <c r="E419" s="1"/>
      <c r="F419" s="1"/>
      <c r="U419" s="16"/>
      <c r="V419" s="1"/>
    </row>
    <row r="420" spans="1:22" x14ac:dyDescent="0.25">
      <c r="A420" s="1"/>
      <c r="C420" s="1"/>
      <c r="D420" s="1"/>
      <c r="E420" s="1"/>
      <c r="F420" s="1"/>
      <c r="U420" s="16"/>
      <c r="V420" s="1"/>
    </row>
    <row r="421" spans="1:22" x14ac:dyDescent="0.25">
      <c r="A421" s="1"/>
      <c r="C421" s="1"/>
      <c r="D421" s="1"/>
      <c r="E421" s="1"/>
      <c r="F421" s="1"/>
      <c r="U421" s="16"/>
      <c r="V421" s="1"/>
    </row>
    <row r="422" spans="1:22" x14ac:dyDescent="0.25">
      <c r="A422" s="1"/>
      <c r="C422" s="1"/>
      <c r="D422" s="1"/>
      <c r="E422" s="1"/>
      <c r="F422" s="1"/>
      <c r="U422" s="16"/>
      <c r="V422" s="1"/>
    </row>
    <row r="423" spans="1:22" x14ac:dyDescent="0.25">
      <c r="A423" s="1"/>
      <c r="C423" s="1"/>
      <c r="D423" s="1"/>
      <c r="E423" s="1"/>
      <c r="F423" s="1"/>
      <c r="U423" s="16"/>
      <c r="V423" s="1"/>
    </row>
    <row r="424" spans="1:22" x14ac:dyDescent="0.25">
      <c r="A424" s="1"/>
      <c r="C424" s="1"/>
      <c r="D424" s="1"/>
      <c r="E424" s="1"/>
      <c r="F424" s="1"/>
      <c r="U424" s="16"/>
      <c r="V424" s="1"/>
    </row>
    <row r="425" spans="1:22" x14ac:dyDescent="0.25">
      <c r="A425" s="1"/>
      <c r="C425" s="1"/>
      <c r="D425" s="1"/>
      <c r="E425" s="1"/>
      <c r="F425" s="1"/>
      <c r="U425" s="16"/>
      <c r="V425" s="1"/>
    </row>
    <row r="426" spans="1:22" x14ac:dyDescent="0.25">
      <c r="A426" s="1"/>
      <c r="C426" s="1"/>
      <c r="D426" s="1"/>
      <c r="E426" s="1"/>
      <c r="F426" s="1"/>
      <c r="U426" s="16"/>
      <c r="V426" s="1"/>
    </row>
    <row r="427" spans="1:22" x14ac:dyDescent="0.25">
      <c r="A427" s="1"/>
      <c r="C427" s="1"/>
      <c r="D427" s="1"/>
      <c r="E427" s="1"/>
      <c r="F427" s="1"/>
      <c r="U427" s="16"/>
      <c r="V427" s="1"/>
    </row>
    <row r="428" spans="1:22" x14ac:dyDescent="0.25">
      <c r="A428" s="1"/>
      <c r="C428" s="1"/>
      <c r="D428" s="1"/>
      <c r="E428" s="1"/>
      <c r="F428" s="1"/>
      <c r="U428" s="16"/>
      <c r="V428" s="1"/>
    </row>
    <row r="429" spans="1:22" x14ac:dyDescent="0.25">
      <c r="A429" s="1"/>
      <c r="C429" s="1"/>
      <c r="D429" s="1"/>
      <c r="E429" s="1"/>
      <c r="F429" s="1"/>
      <c r="U429" s="16"/>
      <c r="V429" s="1"/>
    </row>
    <row r="430" spans="1:22" x14ac:dyDescent="0.25">
      <c r="A430" s="1"/>
      <c r="C430" s="1"/>
      <c r="D430" s="1"/>
      <c r="E430" s="1"/>
      <c r="F430" s="1"/>
      <c r="U430" s="16"/>
      <c r="V430" s="1"/>
    </row>
    <row r="431" spans="1:22" x14ac:dyDescent="0.25">
      <c r="A431" s="1"/>
      <c r="C431" s="1"/>
      <c r="D431" s="1"/>
      <c r="E431" s="1"/>
      <c r="F431" s="1"/>
      <c r="U431" s="16"/>
      <c r="V431" s="1"/>
    </row>
    <row r="432" spans="1:22" x14ac:dyDescent="0.25">
      <c r="A432" s="1"/>
      <c r="C432" s="1"/>
      <c r="D432" s="1"/>
      <c r="E432" s="1"/>
      <c r="F432" s="1"/>
      <c r="U432" s="16"/>
      <c r="V432" s="1"/>
    </row>
    <row r="433" spans="1:22" x14ac:dyDescent="0.25">
      <c r="A433" s="1"/>
      <c r="C433" s="1"/>
      <c r="D433" s="1"/>
      <c r="E433" s="1"/>
      <c r="F433" s="1"/>
      <c r="U433" s="16"/>
      <c r="V433" s="1"/>
    </row>
    <row r="434" spans="1:22" x14ac:dyDescent="0.25">
      <c r="A434" s="1"/>
      <c r="C434" s="1"/>
      <c r="D434" s="1"/>
      <c r="E434" s="1"/>
      <c r="F434" s="1"/>
      <c r="U434" s="16"/>
      <c r="V434" s="1"/>
    </row>
    <row r="435" spans="1:22" x14ac:dyDescent="0.25">
      <c r="A435" s="1"/>
      <c r="C435" s="1"/>
      <c r="D435" s="1"/>
      <c r="E435" s="1"/>
      <c r="F435" s="1"/>
      <c r="U435" s="16"/>
      <c r="V435" s="1"/>
    </row>
    <row r="436" spans="1:22" x14ac:dyDescent="0.25">
      <c r="A436" s="1"/>
      <c r="C436" s="1"/>
      <c r="D436" s="1"/>
      <c r="E436" s="1"/>
      <c r="F436" s="1"/>
      <c r="U436" s="16"/>
      <c r="V436" s="1"/>
    </row>
    <row r="437" spans="1:22" x14ac:dyDescent="0.25">
      <c r="A437" s="1"/>
      <c r="C437" s="1"/>
      <c r="D437" s="1"/>
      <c r="E437" s="1"/>
      <c r="F437" s="1"/>
      <c r="U437" s="16"/>
      <c r="V437" s="1"/>
    </row>
    <row r="438" spans="1:22" x14ac:dyDescent="0.25">
      <c r="A438" s="1"/>
      <c r="C438" s="1"/>
      <c r="D438" s="1"/>
      <c r="E438" s="1"/>
      <c r="F438" s="1"/>
      <c r="U438" s="16"/>
      <c r="V438" s="1"/>
    </row>
    <row r="439" spans="1:22" x14ac:dyDescent="0.25">
      <c r="A439" s="1"/>
      <c r="C439" s="1"/>
      <c r="D439" s="1"/>
      <c r="E439" s="1"/>
      <c r="F439" s="1"/>
      <c r="U439" s="16"/>
      <c r="V439" s="1"/>
    </row>
    <row r="440" spans="1:22" x14ac:dyDescent="0.25">
      <c r="A440" s="1"/>
      <c r="C440" s="1"/>
      <c r="D440" s="1"/>
      <c r="E440" s="1"/>
      <c r="F440" s="1"/>
      <c r="U440" s="16"/>
      <c r="V440" s="1"/>
    </row>
    <row r="441" spans="1:22" x14ac:dyDescent="0.25">
      <c r="A441" s="1"/>
      <c r="C441" s="1"/>
      <c r="D441" s="1"/>
      <c r="E441" s="1"/>
      <c r="F441" s="1"/>
      <c r="U441" s="16"/>
      <c r="V441" s="1"/>
    </row>
    <row r="442" spans="1:22" x14ac:dyDescent="0.25">
      <c r="A442" s="1"/>
      <c r="C442" s="1"/>
      <c r="D442" s="1"/>
      <c r="E442" s="1"/>
      <c r="F442" s="1"/>
      <c r="U442" s="16"/>
      <c r="V442" s="1"/>
    </row>
    <row r="443" spans="1:22" x14ac:dyDescent="0.25">
      <c r="A443" s="1"/>
      <c r="C443" s="1"/>
      <c r="D443" s="1"/>
      <c r="E443" s="1"/>
      <c r="F443" s="1"/>
      <c r="U443" s="16"/>
      <c r="V443" s="1"/>
    </row>
    <row r="444" spans="1:22" x14ac:dyDescent="0.25">
      <c r="A444" s="1"/>
      <c r="C444" s="1"/>
      <c r="D444" s="1"/>
      <c r="E444" s="1"/>
      <c r="F444" s="1"/>
      <c r="U444" s="16"/>
      <c r="V444" s="1"/>
    </row>
    <row r="445" spans="1:22" x14ac:dyDescent="0.25">
      <c r="A445" s="1"/>
      <c r="C445" s="1"/>
      <c r="D445" s="1"/>
      <c r="E445" s="1"/>
      <c r="F445" s="1"/>
      <c r="U445" s="16"/>
      <c r="V445" s="1"/>
    </row>
    <row r="446" spans="1:22" x14ac:dyDescent="0.25">
      <c r="A446" s="1"/>
      <c r="C446" s="1"/>
      <c r="D446" s="1"/>
      <c r="E446" s="1"/>
      <c r="F446" s="1"/>
      <c r="U446" s="16"/>
      <c r="V446" s="1"/>
    </row>
    <row r="447" spans="1:22" x14ac:dyDescent="0.25">
      <c r="A447" s="1"/>
      <c r="C447" s="1"/>
      <c r="D447" s="1"/>
      <c r="E447" s="1"/>
      <c r="F447" s="1"/>
      <c r="U447" s="16"/>
      <c r="V447" s="1"/>
    </row>
    <row r="448" spans="1:22" x14ac:dyDescent="0.25">
      <c r="A448" s="1"/>
      <c r="C448" s="1"/>
      <c r="D448" s="1"/>
      <c r="E448" s="1"/>
      <c r="F448" s="1"/>
      <c r="U448" s="16"/>
      <c r="V448" s="1"/>
    </row>
    <row r="449" spans="1:22" x14ac:dyDescent="0.25">
      <c r="A449" s="1"/>
      <c r="C449" s="1"/>
      <c r="D449" s="1"/>
      <c r="E449" s="1"/>
      <c r="F449" s="1"/>
      <c r="U449" s="16"/>
      <c r="V449" s="1"/>
    </row>
    <row r="450" spans="1:22" x14ac:dyDescent="0.25">
      <c r="A450" s="1"/>
      <c r="C450" s="1"/>
      <c r="D450" s="1"/>
      <c r="E450" s="1"/>
      <c r="F450" s="1"/>
      <c r="U450" s="16"/>
      <c r="V450" s="1"/>
    </row>
    <row r="451" spans="1:22" x14ac:dyDescent="0.25">
      <c r="A451" s="1"/>
      <c r="C451" s="1"/>
      <c r="D451" s="1"/>
      <c r="E451" s="1"/>
      <c r="F451" s="1"/>
      <c r="U451" s="16"/>
      <c r="V451" s="1"/>
    </row>
    <row r="452" spans="1:22" x14ac:dyDescent="0.25">
      <c r="A452" s="1"/>
      <c r="C452" s="1"/>
      <c r="D452" s="1"/>
      <c r="E452" s="1"/>
      <c r="F452" s="1"/>
      <c r="U452" s="16"/>
      <c r="V452" s="1"/>
    </row>
    <row r="453" spans="1:22" x14ac:dyDescent="0.25">
      <c r="A453" s="1"/>
      <c r="C453" s="1"/>
      <c r="D453" s="1"/>
      <c r="E453" s="1"/>
      <c r="F453" s="1"/>
      <c r="U453" s="16"/>
      <c r="V453" s="1"/>
    </row>
    <row r="454" spans="1:22" x14ac:dyDescent="0.25">
      <c r="A454" s="1"/>
      <c r="C454" s="1"/>
      <c r="D454" s="1"/>
      <c r="E454" s="1"/>
      <c r="F454" s="1"/>
      <c r="U454" s="16"/>
      <c r="V454" s="1"/>
    </row>
    <row r="455" spans="1:22" x14ac:dyDescent="0.25">
      <c r="A455" s="1"/>
      <c r="C455" s="1"/>
      <c r="D455" s="1"/>
      <c r="E455" s="1"/>
      <c r="F455" s="1"/>
      <c r="U455" s="16"/>
      <c r="V455" s="1"/>
    </row>
    <row r="456" spans="1:22" x14ac:dyDescent="0.25">
      <c r="A456" s="1"/>
      <c r="C456" s="1"/>
      <c r="D456" s="1"/>
      <c r="E456" s="1"/>
      <c r="F456" s="1"/>
      <c r="U456" s="16"/>
      <c r="V456" s="1"/>
    </row>
    <row r="457" spans="1:22" x14ac:dyDescent="0.25">
      <c r="A457" s="1"/>
      <c r="C457" s="1"/>
      <c r="D457" s="1"/>
      <c r="E457" s="1"/>
      <c r="F457" s="1"/>
      <c r="U457" s="16"/>
      <c r="V457" s="1"/>
    </row>
    <row r="458" spans="1:22" x14ac:dyDescent="0.25">
      <c r="A458" s="1"/>
      <c r="C458" s="1"/>
      <c r="D458" s="1"/>
      <c r="E458" s="1"/>
      <c r="F458" s="1"/>
      <c r="U458" s="16"/>
      <c r="V458" s="1"/>
    </row>
    <row r="459" spans="1:22" x14ac:dyDescent="0.25">
      <c r="A459" s="1"/>
      <c r="C459" s="1"/>
      <c r="D459" s="1"/>
      <c r="E459" s="1"/>
      <c r="F459" s="1"/>
      <c r="U459" s="16"/>
      <c r="V459" s="1"/>
    </row>
    <row r="460" spans="1:22" x14ac:dyDescent="0.25">
      <c r="A460" s="1"/>
      <c r="C460" s="1"/>
      <c r="D460" s="1"/>
      <c r="E460" s="1"/>
      <c r="F460" s="1"/>
      <c r="U460" s="16"/>
      <c r="V460" s="1"/>
    </row>
    <row r="461" spans="1:22" x14ac:dyDescent="0.25">
      <c r="A461" s="1"/>
      <c r="C461" s="1"/>
      <c r="D461" s="1"/>
      <c r="E461" s="1"/>
      <c r="F461" s="1"/>
      <c r="U461" s="16"/>
      <c r="V461" s="1"/>
    </row>
    <row r="462" spans="1:22" x14ac:dyDescent="0.25">
      <c r="A462" s="1"/>
      <c r="C462" s="1"/>
      <c r="D462" s="1"/>
      <c r="E462" s="1"/>
      <c r="F462" s="1"/>
      <c r="U462" s="16"/>
      <c r="V462" s="1"/>
    </row>
    <row r="463" spans="1:22" x14ac:dyDescent="0.25">
      <c r="A463" s="1"/>
      <c r="C463" s="1"/>
      <c r="D463" s="1"/>
      <c r="E463" s="1"/>
      <c r="F463" s="1"/>
      <c r="U463" s="16"/>
      <c r="V463" s="1"/>
    </row>
    <row r="464" spans="1:22" x14ac:dyDescent="0.25">
      <c r="A464" s="1"/>
      <c r="C464" s="1"/>
      <c r="D464" s="1"/>
      <c r="E464" s="1"/>
      <c r="F464" s="1"/>
      <c r="U464" s="16"/>
      <c r="V464" s="1"/>
    </row>
    <row r="465" spans="1:22" x14ac:dyDescent="0.25">
      <c r="A465" s="1"/>
      <c r="C465" s="1"/>
      <c r="D465" s="1"/>
      <c r="E465" s="1"/>
      <c r="F465" s="1"/>
      <c r="U465" s="16"/>
      <c r="V465" s="1"/>
    </row>
    <row r="466" spans="1:22" x14ac:dyDescent="0.25">
      <c r="A466" s="1"/>
      <c r="C466" s="1"/>
      <c r="D466" s="1"/>
      <c r="E466" s="1"/>
      <c r="F466" s="1"/>
      <c r="U466" s="16"/>
      <c r="V466" s="1"/>
    </row>
    <row r="467" spans="1:22" x14ac:dyDescent="0.25">
      <c r="A467" s="1"/>
      <c r="C467" s="1"/>
      <c r="D467" s="1"/>
      <c r="E467" s="1"/>
      <c r="F467" s="1"/>
      <c r="U467" s="16"/>
      <c r="V467" s="1"/>
    </row>
    <row r="468" spans="1:22" x14ac:dyDescent="0.25">
      <c r="A468" s="1"/>
      <c r="C468" s="1"/>
      <c r="D468" s="1"/>
      <c r="E468" s="1"/>
      <c r="F468" s="1"/>
      <c r="U468" s="16"/>
      <c r="V468" s="1"/>
    </row>
    <row r="469" spans="1:22" x14ac:dyDescent="0.25">
      <c r="A469" s="1"/>
      <c r="C469" s="1"/>
      <c r="D469" s="1"/>
      <c r="E469" s="1"/>
      <c r="F469" s="1"/>
      <c r="U469" s="16"/>
      <c r="V469" s="1"/>
    </row>
    <row r="470" spans="1:22" x14ac:dyDescent="0.25">
      <c r="A470" s="1"/>
      <c r="C470" s="1"/>
      <c r="D470" s="1"/>
      <c r="E470" s="1"/>
      <c r="F470" s="1"/>
      <c r="U470" s="16"/>
      <c r="V470" s="1"/>
    </row>
    <row r="471" spans="1:22" x14ac:dyDescent="0.25">
      <c r="A471" s="1"/>
      <c r="C471" s="1"/>
      <c r="D471" s="1"/>
      <c r="E471" s="1"/>
      <c r="F471" s="1"/>
      <c r="U471" s="16"/>
      <c r="V471" s="1"/>
    </row>
    <row r="472" spans="1:22" x14ac:dyDescent="0.25">
      <c r="A472" s="1"/>
      <c r="C472" s="1"/>
      <c r="D472" s="1"/>
      <c r="E472" s="1"/>
      <c r="F472" s="1"/>
      <c r="U472" s="16"/>
      <c r="V472" s="1"/>
    </row>
    <row r="473" spans="1:22" x14ac:dyDescent="0.25">
      <c r="A473" s="1"/>
      <c r="C473" s="1"/>
      <c r="D473" s="1"/>
      <c r="E473" s="1"/>
      <c r="F473" s="1"/>
      <c r="U473" s="16"/>
      <c r="V473" s="1"/>
    </row>
    <row r="474" spans="1:22" x14ac:dyDescent="0.25">
      <c r="A474" s="1"/>
      <c r="C474" s="1"/>
      <c r="D474" s="1"/>
      <c r="E474" s="1"/>
      <c r="F474" s="1"/>
      <c r="U474" s="16"/>
      <c r="V474" s="1"/>
    </row>
    <row r="475" spans="1:22" x14ac:dyDescent="0.25">
      <c r="A475" s="1"/>
      <c r="C475" s="1"/>
      <c r="D475" s="1"/>
      <c r="E475" s="1"/>
      <c r="F475" s="1"/>
      <c r="U475" s="16"/>
      <c r="V475" s="1"/>
    </row>
    <row r="476" spans="1:22" x14ac:dyDescent="0.25">
      <c r="A476" s="1"/>
      <c r="C476" s="1"/>
      <c r="D476" s="1"/>
      <c r="E476" s="1"/>
      <c r="F476" s="1"/>
      <c r="U476" s="16"/>
      <c r="V476" s="1"/>
    </row>
    <row r="477" spans="1:22" x14ac:dyDescent="0.25">
      <c r="A477" s="1"/>
      <c r="C477" s="1"/>
      <c r="D477" s="1"/>
      <c r="E477" s="1"/>
      <c r="F477" s="1"/>
      <c r="U477" s="16"/>
      <c r="V477" s="1"/>
    </row>
    <row r="478" spans="1:22" x14ac:dyDescent="0.25">
      <c r="A478" s="1"/>
      <c r="C478" s="1"/>
      <c r="D478" s="1"/>
      <c r="E478" s="1"/>
      <c r="F478" s="1"/>
      <c r="U478" s="16"/>
      <c r="V478" s="1"/>
    </row>
    <row r="479" spans="1:22" x14ac:dyDescent="0.25">
      <c r="A479" s="1"/>
      <c r="C479" s="1"/>
      <c r="D479" s="1"/>
      <c r="E479" s="1"/>
      <c r="F479" s="1"/>
      <c r="U479" s="16"/>
      <c r="V479" s="1"/>
    </row>
    <row r="480" spans="1:22" x14ac:dyDescent="0.25">
      <c r="A480" s="1"/>
      <c r="C480" s="1"/>
      <c r="D480" s="1"/>
      <c r="E480" s="1"/>
      <c r="F480" s="1"/>
      <c r="U480" s="16"/>
      <c r="V480" s="1"/>
    </row>
    <row r="481" spans="1:22" x14ac:dyDescent="0.25">
      <c r="A481" s="1"/>
      <c r="C481" s="1"/>
      <c r="D481" s="1"/>
      <c r="E481" s="1"/>
      <c r="F481" s="1"/>
      <c r="U481" s="16"/>
      <c r="V481" s="1"/>
    </row>
    <row r="482" spans="1:22" x14ac:dyDescent="0.25">
      <c r="A482" s="1"/>
      <c r="C482" s="1"/>
      <c r="D482" s="1"/>
      <c r="E482" s="1"/>
      <c r="F482" s="1"/>
      <c r="U482" s="16"/>
      <c r="V482" s="1"/>
    </row>
    <row r="483" spans="1:22" x14ac:dyDescent="0.25">
      <c r="A483" s="1"/>
      <c r="C483" s="1"/>
      <c r="D483" s="1"/>
      <c r="E483" s="1"/>
      <c r="F483" s="1"/>
      <c r="U483" s="16"/>
      <c r="V483" s="1"/>
    </row>
    <row r="484" spans="1:22" x14ac:dyDescent="0.25">
      <c r="A484" s="1"/>
      <c r="C484" s="1"/>
      <c r="D484" s="1"/>
      <c r="E484" s="1"/>
      <c r="F484" s="1"/>
      <c r="U484" s="16"/>
      <c r="V484" s="1"/>
    </row>
    <row r="485" spans="1:22" x14ac:dyDescent="0.25">
      <c r="A485" s="1"/>
      <c r="C485" s="1"/>
      <c r="D485" s="1"/>
      <c r="E485" s="1"/>
      <c r="F485" s="1"/>
      <c r="U485" s="16"/>
      <c r="V485" s="1"/>
    </row>
    <row r="486" spans="1:22" x14ac:dyDescent="0.25">
      <c r="A486" s="1"/>
      <c r="C486" s="1"/>
      <c r="D486" s="1"/>
      <c r="E486" s="1"/>
      <c r="F486" s="1"/>
      <c r="U486" s="16"/>
      <c r="V486" s="1"/>
    </row>
    <row r="487" spans="1:22" x14ac:dyDescent="0.25">
      <c r="A487" s="1"/>
      <c r="C487" s="1"/>
      <c r="D487" s="1"/>
      <c r="E487" s="1"/>
      <c r="F487" s="1"/>
      <c r="U487" s="16"/>
      <c r="V487" s="1"/>
    </row>
    <row r="488" spans="1:22" x14ac:dyDescent="0.25">
      <c r="A488" s="1"/>
      <c r="C488" s="1"/>
      <c r="D488" s="1"/>
      <c r="E488" s="1"/>
      <c r="F488" s="1"/>
      <c r="U488" s="16"/>
      <c r="V488" s="1"/>
    </row>
    <row r="489" spans="1:22" x14ac:dyDescent="0.25">
      <c r="A489" s="1"/>
      <c r="C489" s="1"/>
      <c r="D489" s="1"/>
      <c r="E489" s="1"/>
      <c r="F489" s="1"/>
      <c r="U489" s="16"/>
      <c r="V489" s="1"/>
    </row>
    <row r="490" spans="1:22" x14ac:dyDescent="0.25">
      <c r="A490" s="1"/>
      <c r="C490" s="1"/>
      <c r="D490" s="1"/>
      <c r="E490" s="1"/>
      <c r="F490" s="1"/>
      <c r="U490" s="16"/>
      <c r="V490" s="1"/>
    </row>
    <row r="491" spans="1:22" x14ac:dyDescent="0.25">
      <c r="A491" s="1"/>
      <c r="C491" s="1"/>
      <c r="D491" s="1"/>
      <c r="E491" s="1"/>
      <c r="F491" s="1"/>
      <c r="U491" s="16"/>
      <c r="V491" s="1"/>
    </row>
    <row r="492" spans="1:22" x14ac:dyDescent="0.25">
      <c r="A492" s="1"/>
      <c r="C492" s="1"/>
      <c r="D492" s="1"/>
      <c r="E492" s="1"/>
      <c r="F492" s="1"/>
      <c r="U492" s="16"/>
      <c r="V492" s="1"/>
    </row>
    <row r="493" spans="1:22" x14ac:dyDescent="0.25">
      <c r="A493" s="1"/>
      <c r="C493" s="1"/>
      <c r="D493" s="1"/>
      <c r="E493" s="1"/>
      <c r="F493" s="1"/>
      <c r="U493" s="16"/>
      <c r="V493" s="1"/>
    </row>
    <row r="494" spans="1:22" x14ac:dyDescent="0.25">
      <c r="A494" s="1"/>
      <c r="C494" s="1"/>
      <c r="D494" s="1"/>
      <c r="E494" s="1"/>
      <c r="F494" s="1"/>
      <c r="U494" s="16"/>
      <c r="V494" s="1"/>
    </row>
    <row r="495" spans="1:22" x14ac:dyDescent="0.25">
      <c r="A495" s="1"/>
      <c r="C495" s="1"/>
      <c r="D495" s="1"/>
      <c r="E495" s="1"/>
      <c r="F495" s="1"/>
      <c r="U495" s="16"/>
      <c r="V495" s="1"/>
    </row>
    <row r="496" spans="1:22" x14ac:dyDescent="0.25">
      <c r="A496" s="1"/>
      <c r="V496" s="1"/>
    </row>
    <row r="497" spans="1:22" x14ac:dyDescent="0.25">
      <c r="A497" s="1"/>
      <c r="U497" s="17">
        <f>SUM(U2:U496)</f>
        <v>11108</v>
      </c>
      <c r="V497" s="20">
        <f>+U497/1.13</f>
        <v>9830.0884955752226</v>
      </c>
    </row>
    <row r="498" spans="1:22" x14ac:dyDescent="0.25">
      <c r="A498" s="1"/>
      <c r="V498" s="20">
        <f>+V497*0.13</f>
        <v>1277.911504424779</v>
      </c>
    </row>
    <row r="499" spans="1:22" x14ac:dyDescent="0.25">
      <c r="A499" s="1"/>
      <c r="V499" s="1"/>
    </row>
    <row r="500" spans="1:22" x14ac:dyDescent="0.25">
      <c r="A500" s="1"/>
      <c r="V500" s="1"/>
    </row>
    <row r="501" spans="1:22" x14ac:dyDescent="0.25">
      <c r="A501" s="1"/>
      <c r="V501" s="1"/>
    </row>
    <row r="502" spans="1:22" x14ac:dyDescent="0.25">
      <c r="A502" s="1"/>
      <c r="V502" s="1"/>
    </row>
    <row r="503" spans="1:22" x14ac:dyDescent="0.25">
      <c r="A503" s="1"/>
      <c r="V503" s="1"/>
    </row>
    <row r="504" spans="1:22" x14ac:dyDescent="0.25">
      <c r="A504" s="1"/>
      <c r="V504" s="1"/>
    </row>
    <row r="505" spans="1:22" x14ac:dyDescent="0.25">
      <c r="A505" s="1"/>
      <c r="V505" s="1"/>
    </row>
    <row r="506" spans="1:22" x14ac:dyDescent="0.25">
      <c r="A506" s="1"/>
      <c r="V506" s="1"/>
    </row>
    <row r="507" spans="1:22" x14ac:dyDescent="0.25">
      <c r="A507" s="1"/>
      <c r="V507" s="1"/>
    </row>
    <row r="508" spans="1:22" x14ac:dyDescent="0.25">
      <c r="A508" s="1"/>
      <c r="V508" s="1"/>
    </row>
    <row r="509" spans="1:22" x14ac:dyDescent="0.25">
      <c r="A509" s="1"/>
      <c r="V509" s="1"/>
    </row>
    <row r="510" spans="1:22" x14ac:dyDescent="0.25">
      <c r="A510" s="1"/>
      <c r="V510" s="1"/>
    </row>
    <row r="511" spans="1:22" x14ac:dyDescent="0.25">
      <c r="A511" s="1"/>
      <c r="V511" s="1"/>
    </row>
    <row r="512" spans="1:22" x14ac:dyDescent="0.25">
      <c r="A512" s="1"/>
      <c r="V512" s="1"/>
    </row>
    <row r="513" spans="1:22" x14ac:dyDescent="0.25">
      <c r="A513" s="1"/>
      <c r="V513" s="1"/>
    </row>
    <row r="514" spans="1:22" x14ac:dyDescent="0.25">
      <c r="A514" s="1"/>
      <c r="V514" s="1"/>
    </row>
    <row r="515" spans="1:22" x14ac:dyDescent="0.25">
      <c r="A515" s="1"/>
      <c r="V515" s="1"/>
    </row>
    <row r="516" spans="1:22" x14ac:dyDescent="0.25">
      <c r="A516" s="1"/>
      <c r="V516" s="1"/>
    </row>
    <row r="517" spans="1:22" x14ac:dyDescent="0.25">
      <c r="A517" s="1"/>
      <c r="V517" s="1"/>
    </row>
    <row r="518" spans="1:22" x14ac:dyDescent="0.25">
      <c r="A518" s="1"/>
      <c r="V518" s="1"/>
    </row>
    <row r="519" spans="1:22" x14ac:dyDescent="0.25">
      <c r="A519" s="1"/>
      <c r="V519" s="1"/>
    </row>
    <row r="520" spans="1:22" x14ac:dyDescent="0.25">
      <c r="A520" s="1"/>
      <c r="V520" s="1"/>
    </row>
    <row r="521" spans="1:22" x14ac:dyDescent="0.25">
      <c r="A521" s="1"/>
      <c r="V521" s="1"/>
    </row>
    <row r="522" spans="1:22" x14ac:dyDescent="0.25">
      <c r="A522" s="1"/>
      <c r="V522" s="1"/>
    </row>
    <row r="523" spans="1:22" x14ac:dyDescent="0.25">
      <c r="A523" s="1"/>
      <c r="V523" s="1"/>
    </row>
    <row r="524" spans="1:22" x14ac:dyDescent="0.25">
      <c r="A524" s="1"/>
      <c r="V524" s="1"/>
    </row>
    <row r="525" spans="1:22" x14ac:dyDescent="0.25">
      <c r="A525" s="1"/>
      <c r="V525" s="1"/>
    </row>
    <row r="526" spans="1:22" x14ac:dyDescent="0.25">
      <c r="A526" s="1"/>
      <c r="V526" s="1"/>
    </row>
    <row r="527" spans="1:22" x14ac:dyDescent="0.25">
      <c r="A527" s="1"/>
      <c r="V527" s="1"/>
    </row>
    <row r="528" spans="1:22" x14ac:dyDescent="0.25">
      <c r="A528" s="1"/>
      <c r="V528" s="1"/>
    </row>
    <row r="529" spans="1:22" x14ac:dyDescent="0.25">
      <c r="A529" s="1"/>
      <c r="V529" s="1"/>
    </row>
    <row r="530" spans="1:22" x14ac:dyDescent="0.25">
      <c r="A530" s="1"/>
      <c r="V530" s="1"/>
    </row>
    <row r="531" spans="1:22" x14ac:dyDescent="0.25">
      <c r="A531" s="1"/>
      <c r="V531" s="1"/>
    </row>
    <row r="532" spans="1:22" x14ac:dyDescent="0.25">
      <c r="A532" s="1"/>
      <c r="V532" s="1"/>
    </row>
    <row r="533" spans="1:22" x14ac:dyDescent="0.25">
      <c r="A533" s="1"/>
      <c r="V533" s="1"/>
    </row>
    <row r="534" spans="1:22" x14ac:dyDescent="0.25">
      <c r="A534" s="1"/>
      <c r="V534" s="1"/>
    </row>
    <row r="535" spans="1:22" x14ac:dyDescent="0.25">
      <c r="A535" s="1"/>
      <c r="V535" s="1"/>
    </row>
    <row r="536" spans="1:22" x14ac:dyDescent="0.25">
      <c r="A536" s="1"/>
      <c r="V536" s="1"/>
    </row>
    <row r="537" spans="1:22" x14ac:dyDescent="0.25">
      <c r="A537" s="1"/>
      <c r="V537" s="1"/>
    </row>
    <row r="538" spans="1:22" x14ac:dyDescent="0.25">
      <c r="A538" s="1"/>
      <c r="V538" s="1"/>
    </row>
    <row r="539" spans="1:22" x14ac:dyDescent="0.25">
      <c r="A539" s="1"/>
      <c r="V539" s="1"/>
    </row>
    <row r="540" spans="1:22" x14ac:dyDescent="0.25">
      <c r="A540" s="1"/>
      <c r="V540" s="1"/>
    </row>
    <row r="541" spans="1:22" x14ac:dyDescent="0.25">
      <c r="A541" s="1"/>
      <c r="V541" s="1"/>
    </row>
    <row r="542" spans="1:22" x14ac:dyDescent="0.25">
      <c r="A542" s="1"/>
      <c r="V542" s="1"/>
    </row>
    <row r="543" spans="1:22" x14ac:dyDescent="0.25">
      <c r="A543" s="1"/>
      <c r="V543" s="1"/>
    </row>
    <row r="544" spans="1:22" x14ac:dyDescent="0.25">
      <c r="A544" s="1"/>
      <c r="V544" s="1"/>
    </row>
    <row r="545" spans="1:22" x14ac:dyDescent="0.25">
      <c r="A545" s="1"/>
      <c r="V545" s="1"/>
    </row>
    <row r="546" spans="1:22" x14ac:dyDescent="0.25">
      <c r="A546" s="1"/>
      <c r="V546" s="1"/>
    </row>
    <row r="547" spans="1:22" x14ac:dyDescent="0.25">
      <c r="A547" s="1"/>
      <c r="V547" s="1"/>
    </row>
    <row r="548" spans="1:22" x14ac:dyDescent="0.25">
      <c r="A548" s="1"/>
      <c r="V548" s="1"/>
    </row>
    <row r="549" spans="1:22" x14ac:dyDescent="0.25">
      <c r="A549" s="1"/>
      <c r="V549" s="1"/>
    </row>
    <row r="550" spans="1:22" x14ac:dyDescent="0.25">
      <c r="A550" s="1"/>
      <c r="V550" s="1"/>
    </row>
    <row r="551" spans="1:22" x14ac:dyDescent="0.25">
      <c r="A551" s="1"/>
      <c r="V551" s="1"/>
    </row>
    <row r="552" spans="1:22" x14ac:dyDescent="0.25">
      <c r="A552" s="1"/>
      <c r="V552" s="1"/>
    </row>
    <row r="553" spans="1:22" x14ac:dyDescent="0.25">
      <c r="A553" s="1"/>
      <c r="V553" s="1"/>
    </row>
    <row r="554" spans="1:22" x14ac:dyDescent="0.25">
      <c r="A554" s="1"/>
      <c r="V554" s="1"/>
    </row>
    <row r="555" spans="1:22" x14ac:dyDescent="0.25">
      <c r="A555" s="1"/>
      <c r="V555" s="1"/>
    </row>
    <row r="556" spans="1:22" x14ac:dyDescent="0.25">
      <c r="A556" s="1"/>
      <c r="V556" s="1"/>
    </row>
    <row r="557" spans="1:22" x14ac:dyDescent="0.25">
      <c r="A557" s="1"/>
      <c r="V557" s="1"/>
    </row>
    <row r="558" spans="1:22" x14ac:dyDescent="0.25">
      <c r="A558" s="1"/>
      <c r="V558" s="1"/>
    </row>
    <row r="559" spans="1:22" x14ac:dyDescent="0.25">
      <c r="A559" s="1"/>
      <c r="V559" s="1"/>
    </row>
    <row r="560" spans="1:22" x14ac:dyDescent="0.25">
      <c r="A560" s="1"/>
      <c r="V560" s="1"/>
    </row>
    <row r="561" spans="1:22" x14ac:dyDescent="0.25">
      <c r="A561" s="1"/>
      <c r="V561" s="1"/>
    </row>
    <row r="562" spans="1:22" x14ac:dyDescent="0.25">
      <c r="A562" s="1"/>
      <c r="V562" s="1"/>
    </row>
    <row r="563" spans="1:22" x14ac:dyDescent="0.25">
      <c r="A563" s="1"/>
      <c r="V563" s="1"/>
    </row>
    <row r="564" spans="1:22" x14ac:dyDescent="0.25">
      <c r="A564" s="1"/>
      <c r="V564" s="1"/>
    </row>
    <row r="565" spans="1:22" x14ac:dyDescent="0.25">
      <c r="A565" s="1"/>
      <c r="V565" s="1"/>
    </row>
    <row r="566" spans="1:22" x14ac:dyDescent="0.25">
      <c r="A566" s="1"/>
      <c r="V566" s="1"/>
    </row>
    <row r="567" spans="1:22" x14ac:dyDescent="0.25">
      <c r="A567" s="1"/>
      <c r="V567" s="1"/>
    </row>
    <row r="568" spans="1:22" x14ac:dyDescent="0.25">
      <c r="A568" s="1"/>
      <c r="V568" s="1"/>
    </row>
    <row r="569" spans="1:22" x14ac:dyDescent="0.25">
      <c r="A569" s="1"/>
      <c r="V569" s="1"/>
    </row>
    <row r="570" spans="1:22" x14ac:dyDescent="0.25">
      <c r="A570" s="1"/>
      <c r="V570" s="1"/>
    </row>
    <row r="571" spans="1:22" x14ac:dyDescent="0.25">
      <c r="A571" s="1"/>
      <c r="V571" s="1"/>
    </row>
    <row r="572" spans="1:22" x14ac:dyDescent="0.25">
      <c r="A572" s="1"/>
      <c r="V572" s="1"/>
    </row>
    <row r="573" spans="1:22" x14ac:dyDescent="0.25">
      <c r="A573" s="1"/>
      <c r="V573" s="1"/>
    </row>
    <row r="574" spans="1:22" x14ac:dyDescent="0.25">
      <c r="A574" s="1"/>
      <c r="V574" s="1"/>
    </row>
    <row r="575" spans="1:22" x14ac:dyDescent="0.25">
      <c r="A575" s="1"/>
      <c r="V575" s="1"/>
    </row>
    <row r="576" spans="1:22" x14ac:dyDescent="0.25">
      <c r="A576" s="1"/>
      <c r="V576" s="1"/>
    </row>
    <row r="577" spans="1:22" x14ac:dyDescent="0.25">
      <c r="A577" s="1"/>
      <c r="V577" s="1"/>
    </row>
    <row r="578" spans="1:22" x14ac:dyDescent="0.25">
      <c r="A578" s="1"/>
      <c r="V578" s="1"/>
    </row>
    <row r="579" spans="1:22" x14ac:dyDescent="0.25">
      <c r="A579" s="1"/>
      <c r="V579" s="1"/>
    </row>
    <row r="580" spans="1:22" x14ac:dyDescent="0.25">
      <c r="A580" s="1"/>
      <c r="V580" s="1"/>
    </row>
    <row r="581" spans="1:22" x14ac:dyDescent="0.25">
      <c r="A581" s="1"/>
      <c r="V581" s="1"/>
    </row>
    <row r="582" spans="1:22" x14ac:dyDescent="0.25">
      <c r="A582" s="1"/>
      <c r="V582" s="1"/>
    </row>
    <row r="583" spans="1:22" x14ac:dyDescent="0.25">
      <c r="A583" s="1"/>
      <c r="V583" s="1"/>
    </row>
    <row r="584" spans="1:22" x14ac:dyDescent="0.25">
      <c r="A584" s="1"/>
      <c r="V584" s="1"/>
    </row>
    <row r="585" spans="1:22" x14ac:dyDescent="0.25">
      <c r="A585" s="1"/>
      <c r="V585" s="1"/>
    </row>
    <row r="586" spans="1:22" x14ac:dyDescent="0.25">
      <c r="A586" s="1"/>
      <c r="V586" s="1"/>
    </row>
    <row r="587" spans="1:22" x14ac:dyDescent="0.25">
      <c r="A587" s="1"/>
      <c r="V587" s="1"/>
    </row>
    <row r="588" spans="1:22" x14ac:dyDescent="0.25">
      <c r="A588" s="1"/>
      <c r="V588" s="1"/>
    </row>
    <row r="589" spans="1:22" x14ac:dyDescent="0.25">
      <c r="A589" s="1"/>
      <c r="V589" s="1"/>
    </row>
    <row r="590" spans="1:22" x14ac:dyDescent="0.25">
      <c r="A590" s="1"/>
      <c r="V590" s="1"/>
    </row>
    <row r="591" spans="1:22" x14ac:dyDescent="0.25">
      <c r="A591" s="1"/>
      <c r="V591" s="1"/>
    </row>
    <row r="592" spans="1:22" x14ac:dyDescent="0.25">
      <c r="A592" s="1"/>
      <c r="V592" s="1"/>
    </row>
    <row r="593" spans="1:22" x14ac:dyDescent="0.25">
      <c r="A593" s="1"/>
      <c r="V593" s="1"/>
    </row>
    <row r="594" spans="1:22" x14ac:dyDescent="0.25">
      <c r="A594" s="1"/>
      <c r="V594" s="1"/>
    </row>
    <row r="595" spans="1:22" x14ac:dyDescent="0.25">
      <c r="A595" s="1"/>
      <c r="V595" s="1"/>
    </row>
    <row r="596" spans="1:22" x14ac:dyDescent="0.25">
      <c r="A596" s="1"/>
      <c r="V596" s="1"/>
    </row>
    <row r="597" spans="1:22" x14ac:dyDescent="0.25">
      <c r="A597" s="1"/>
      <c r="V597" s="1"/>
    </row>
    <row r="598" spans="1:22" x14ac:dyDescent="0.25">
      <c r="A598" s="1"/>
      <c r="V598" s="1"/>
    </row>
    <row r="599" spans="1:22" x14ac:dyDescent="0.25">
      <c r="A599" s="1"/>
      <c r="V599" s="1"/>
    </row>
    <row r="600" spans="1:22" x14ac:dyDescent="0.25">
      <c r="A600" s="1"/>
      <c r="V600" s="1"/>
    </row>
    <row r="601" spans="1:22" x14ac:dyDescent="0.25">
      <c r="A601" s="1"/>
      <c r="V601" s="1"/>
    </row>
    <row r="602" spans="1:22" x14ac:dyDescent="0.25">
      <c r="A602" s="1"/>
    </row>
    <row r="603" spans="1:22" x14ac:dyDescent="0.25">
      <c r="A603" s="1"/>
    </row>
    <row r="604" spans="1:22" x14ac:dyDescent="0.25">
      <c r="A604" s="1"/>
    </row>
    <row r="605" spans="1:22" x14ac:dyDescent="0.25">
      <c r="A605" s="1"/>
    </row>
    <row r="606" spans="1:22" x14ac:dyDescent="0.25">
      <c r="A606" s="1"/>
    </row>
    <row r="607" spans="1:22" x14ac:dyDescent="0.25">
      <c r="A607" s="1"/>
    </row>
    <row r="608" spans="1:22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1000" spans="12:18" x14ac:dyDescent="0.25">
      <c r="L1000" s="76">
        <f>SUBTOTAL(9,L1:L999)</f>
        <v>385</v>
      </c>
      <c r="M1000" s="76">
        <f t="shared" ref="M1000:R1000" si="7">SUBTOTAL(9,M1:M999)</f>
        <v>0</v>
      </c>
      <c r="N1000" s="76">
        <f t="shared" si="7"/>
        <v>0</v>
      </c>
      <c r="O1000" s="76">
        <f t="shared" si="7"/>
        <v>656.7</v>
      </c>
      <c r="P1000" s="76">
        <f t="shared" si="7"/>
        <v>1057.1099999999999</v>
      </c>
      <c r="R1000" s="76">
        <f t="shared" si="7"/>
        <v>0</v>
      </c>
    </row>
  </sheetData>
  <autoFilter ref="A1:V29">
    <filterColumn colId="0">
      <filters>
        <filter val="JUNIO"/>
      </filters>
    </filterColumn>
    <filterColumn colId="20">
      <filters>
        <filter val="1057.11"/>
        <filter val="172"/>
        <filter val="289.2"/>
        <filter val="367.5"/>
        <filter val="385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 filterMode="1">
    <tabColor theme="9" tint="-0.249977111117893"/>
  </sheetPr>
  <dimension ref="A1:Y5000"/>
  <sheetViews>
    <sheetView showGridLines="0" workbookViewId="0">
      <pane xSplit="3" ySplit="1" topLeftCell="G162" activePane="bottomRight" state="frozen"/>
      <selection activeCell="A2" sqref="A2"/>
      <selection pane="topRight" activeCell="A2" sqref="A2"/>
      <selection pane="bottomLeft" activeCell="A2" sqref="A2"/>
      <selection pane="bottomRight" activeCell="K189" sqref="K189"/>
    </sheetView>
  </sheetViews>
  <sheetFormatPr baseColWidth="10" defaultColWidth="11.5703125" defaultRowHeight="15" x14ac:dyDescent="0.25"/>
  <cols>
    <col min="1" max="1" width="8.85546875" style="1" customWidth="1"/>
    <col min="2" max="2" width="6.28515625" style="1" customWidth="1"/>
    <col min="3" max="6" width="8.85546875" style="4" hidden="1" customWidth="1"/>
    <col min="7" max="7" width="11.5703125" style="1" customWidth="1"/>
    <col min="8" max="9" width="11.5703125" style="4" customWidth="1"/>
    <col min="10" max="10" width="20.28515625" style="1" customWidth="1"/>
    <col min="11" max="12" width="11.5703125" style="1" customWidth="1"/>
    <col min="13" max="13" width="11.5703125" style="1"/>
    <col min="14" max="14" width="15" style="1" bestFit="1" customWidth="1"/>
    <col min="15" max="15" width="49.140625" style="24" bestFit="1" customWidth="1"/>
    <col min="16" max="17" width="11.5703125" style="1" customWidth="1"/>
    <col min="18" max="18" width="11.5703125" style="26"/>
    <col min="19" max="19" width="11.5703125" style="25" customWidth="1"/>
    <col min="20" max="21" width="11.5703125" style="1" customWidth="1"/>
    <col min="22" max="22" width="11.5703125" style="24" customWidth="1"/>
    <col min="23" max="23" width="11.5703125" style="1" customWidth="1"/>
    <col min="24" max="24" width="11.5703125" style="1"/>
    <col min="25" max="25" width="11.5703125" style="3"/>
    <col min="26" max="16384" width="11.5703125" style="1"/>
  </cols>
  <sheetData>
    <row r="1" spans="1:25" ht="21.75" customHeight="1" x14ac:dyDescent="0.25">
      <c r="A1" s="1" t="s">
        <v>22</v>
      </c>
      <c r="C1" s="4" t="s">
        <v>32</v>
      </c>
      <c r="G1" t="s">
        <v>4</v>
      </c>
      <c r="H1" s="23" t="s">
        <v>5</v>
      </c>
      <c r="I1" s="23" t="s">
        <v>6</v>
      </c>
      <c r="J1" t="s">
        <v>289</v>
      </c>
      <c r="K1" t="s">
        <v>288</v>
      </c>
      <c r="L1" t="s">
        <v>287</v>
      </c>
      <c r="M1" t="s">
        <v>286</v>
      </c>
      <c r="N1" t="s">
        <v>285</v>
      </c>
      <c r="O1" s="24" t="s">
        <v>284</v>
      </c>
      <c r="P1" t="s">
        <v>283</v>
      </c>
      <c r="Q1" t="s">
        <v>282</v>
      </c>
      <c r="R1" s="26" t="s">
        <v>281</v>
      </c>
      <c r="S1" s="25" t="s">
        <v>280</v>
      </c>
      <c r="T1" t="s">
        <v>279</v>
      </c>
      <c r="U1" t="s">
        <v>278</v>
      </c>
      <c r="V1" s="24" t="s">
        <v>277</v>
      </c>
      <c r="W1" t="s">
        <v>276</v>
      </c>
      <c r="Y1" s="3" t="s">
        <v>17</v>
      </c>
    </row>
    <row r="2" spans="1:25" x14ac:dyDescent="0.25">
      <c r="A2" s="1" t="s">
        <v>23</v>
      </c>
      <c r="C2" s="4" t="s">
        <v>61</v>
      </c>
      <c r="D2" s="4" t="s">
        <v>0</v>
      </c>
      <c r="E2" s="4" t="s">
        <v>30</v>
      </c>
      <c r="F2" s="4" t="s">
        <v>31</v>
      </c>
      <c r="G2" t="str">
        <f t="shared" ref="G2:G42" si="0">+C2&amp;F2&amp;D2&amp;F2&amp;E2</f>
        <v>01/03/2021</v>
      </c>
      <c r="H2" s="4" t="s">
        <v>1</v>
      </c>
      <c r="I2" s="4" t="s">
        <v>0</v>
      </c>
      <c r="J2" s="1" t="s">
        <v>216</v>
      </c>
      <c r="K2" s="1" t="s">
        <v>215</v>
      </c>
      <c r="L2" s="1" t="s">
        <v>242</v>
      </c>
      <c r="M2" s="1" t="s">
        <v>242</v>
      </c>
      <c r="N2" s="1" t="s">
        <v>237</v>
      </c>
      <c r="O2" s="24" t="str">
        <f>+VLOOKUP(N2,'base de clientes'!A:B,2,0)</f>
        <v>TALLER DIDEA, S.A. DE C.V.</v>
      </c>
      <c r="P2" s="1" t="s">
        <v>2</v>
      </c>
      <c r="Q2" s="1" t="s">
        <v>2</v>
      </c>
      <c r="R2" s="26">
        <v>377.6</v>
      </c>
      <c r="S2" s="24">
        <f t="shared" ref="S2:S42" si="1">+R2*0.13</f>
        <v>49.088000000000008</v>
      </c>
      <c r="T2" s="1" t="s">
        <v>2</v>
      </c>
      <c r="U2" s="1" t="s">
        <v>2</v>
      </c>
      <c r="V2" s="25">
        <f t="shared" ref="V2:V42" si="2">+R2+S2</f>
        <v>426.68800000000005</v>
      </c>
      <c r="W2" s="1" t="s">
        <v>1</v>
      </c>
      <c r="Y2" s="3">
        <f t="shared" ref="Y2:Y42" si="3">+ROUND(S2,2)</f>
        <v>49.09</v>
      </c>
    </row>
    <row r="3" spans="1:25" x14ac:dyDescent="0.25">
      <c r="A3" s="1" t="s">
        <v>23</v>
      </c>
      <c r="C3" s="4" t="s">
        <v>61</v>
      </c>
      <c r="D3" s="4" t="s">
        <v>0</v>
      </c>
      <c r="E3" s="4" t="s">
        <v>30</v>
      </c>
      <c r="F3" s="4" t="s">
        <v>31</v>
      </c>
      <c r="G3" t="str">
        <f t="shared" si="0"/>
        <v>01/03/2021</v>
      </c>
      <c r="H3" s="4" t="s">
        <v>1</v>
      </c>
      <c r="I3" s="4" t="s">
        <v>0</v>
      </c>
      <c r="J3" s="1" t="s">
        <v>216</v>
      </c>
      <c r="K3" s="1" t="s">
        <v>215</v>
      </c>
      <c r="L3" s="1" t="s">
        <v>241</v>
      </c>
      <c r="M3" s="1" t="s">
        <v>241</v>
      </c>
      <c r="N3" s="1" t="s">
        <v>239</v>
      </c>
      <c r="O3" s="24" t="str">
        <f>+VLOOKUP(N3,'base de clientes'!A:B,2,0)</f>
        <v>PINTURA Y ENDEREZADO S.A DE C.V.</v>
      </c>
      <c r="P3" s="1" t="s">
        <v>2</v>
      </c>
      <c r="Q3" s="1" t="s">
        <v>2</v>
      </c>
      <c r="R3" s="26">
        <v>148.04</v>
      </c>
      <c r="S3" s="24">
        <f t="shared" si="1"/>
        <v>19.245200000000001</v>
      </c>
      <c r="T3" s="1" t="s">
        <v>2</v>
      </c>
      <c r="U3" s="1" t="s">
        <v>2</v>
      </c>
      <c r="V3" s="25">
        <f t="shared" si="2"/>
        <v>167.2852</v>
      </c>
      <c r="W3" s="1" t="s">
        <v>1</v>
      </c>
      <c r="Y3" s="3">
        <f t="shared" si="3"/>
        <v>19.25</v>
      </c>
    </row>
    <row r="4" spans="1:25" x14ac:dyDescent="0.25">
      <c r="A4" s="1" t="s">
        <v>23</v>
      </c>
      <c r="C4" s="4" t="s">
        <v>61</v>
      </c>
      <c r="D4" s="4" t="s">
        <v>0</v>
      </c>
      <c r="E4" s="4" t="s">
        <v>30</v>
      </c>
      <c r="F4" s="4" t="s">
        <v>31</v>
      </c>
      <c r="G4" t="str">
        <f t="shared" si="0"/>
        <v>01/03/2021</v>
      </c>
      <c r="H4" s="4" t="s">
        <v>1</v>
      </c>
      <c r="I4" s="4" t="s">
        <v>0</v>
      </c>
      <c r="J4" s="1" t="s">
        <v>216</v>
      </c>
      <c r="K4" s="1" t="s">
        <v>215</v>
      </c>
      <c r="L4" s="1" t="s">
        <v>240</v>
      </c>
      <c r="M4" s="1" t="s">
        <v>240</v>
      </c>
      <c r="N4" s="1" t="s">
        <v>239</v>
      </c>
      <c r="O4" s="24" t="str">
        <f>+VLOOKUP(N4,'base de clientes'!A:B,2,0)</f>
        <v>PINTURA Y ENDEREZADO S.A DE C.V.</v>
      </c>
      <c r="P4" s="1" t="s">
        <v>2</v>
      </c>
      <c r="Q4" s="1" t="s">
        <v>2</v>
      </c>
      <c r="R4" s="26">
        <v>148.04</v>
      </c>
      <c r="S4" s="24">
        <f t="shared" si="1"/>
        <v>19.245200000000001</v>
      </c>
      <c r="T4" s="1" t="s">
        <v>2</v>
      </c>
      <c r="U4" s="1" t="s">
        <v>2</v>
      </c>
      <c r="V4" s="25">
        <f t="shared" si="2"/>
        <v>167.2852</v>
      </c>
      <c r="W4" s="1" t="s">
        <v>1</v>
      </c>
      <c r="Y4" s="3">
        <f t="shared" si="3"/>
        <v>19.25</v>
      </c>
    </row>
    <row r="5" spans="1:25" x14ac:dyDescent="0.25">
      <c r="A5" s="1" t="s">
        <v>23</v>
      </c>
      <c r="C5" s="4" t="s">
        <v>61</v>
      </c>
      <c r="D5" s="4" t="s">
        <v>0</v>
      </c>
      <c r="E5" s="4" t="s">
        <v>30</v>
      </c>
      <c r="F5" s="4" t="s">
        <v>31</v>
      </c>
      <c r="G5" t="str">
        <f t="shared" si="0"/>
        <v>01/03/2021</v>
      </c>
      <c r="H5" s="4" t="s">
        <v>1</v>
      </c>
      <c r="I5" s="4" t="s">
        <v>0</v>
      </c>
      <c r="J5" s="1" t="s">
        <v>216</v>
      </c>
      <c r="K5" s="1" t="s">
        <v>215</v>
      </c>
      <c r="L5" s="1" t="s">
        <v>238</v>
      </c>
      <c r="M5" s="1" t="s">
        <v>238</v>
      </c>
      <c r="N5" s="4" t="s">
        <v>237</v>
      </c>
      <c r="O5" s="24" t="str">
        <f>+VLOOKUP(N5,'base de clientes'!A:B,2,0)</f>
        <v>TALLER DIDEA, S.A. DE C.V.</v>
      </c>
      <c r="P5" s="1" t="s">
        <v>2</v>
      </c>
      <c r="Q5" s="1" t="s">
        <v>2</v>
      </c>
      <c r="R5" s="26">
        <v>377.6</v>
      </c>
      <c r="S5" s="24">
        <f t="shared" si="1"/>
        <v>49.088000000000008</v>
      </c>
      <c r="T5" s="1" t="s">
        <v>2</v>
      </c>
      <c r="U5" s="1" t="s">
        <v>2</v>
      </c>
      <c r="V5" s="25">
        <f t="shared" si="2"/>
        <v>426.68800000000005</v>
      </c>
      <c r="W5" s="1" t="s">
        <v>1</v>
      </c>
      <c r="Y5" s="3">
        <f t="shared" si="3"/>
        <v>49.09</v>
      </c>
    </row>
    <row r="6" spans="1:25" x14ac:dyDescent="0.25">
      <c r="A6" s="1" t="s">
        <v>23</v>
      </c>
      <c r="C6" s="4" t="s">
        <v>61</v>
      </c>
      <c r="D6" s="4" t="s">
        <v>0</v>
      </c>
      <c r="E6" s="4" t="s">
        <v>30</v>
      </c>
      <c r="F6" s="4" t="s">
        <v>31</v>
      </c>
      <c r="G6" t="str">
        <f t="shared" si="0"/>
        <v>01/03/2021</v>
      </c>
      <c r="H6" s="4" t="s">
        <v>1</v>
      </c>
      <c r="I6" s="4" t="s">
        <v>0</v>
      </c>
      <c r="J6" s="1" t="s">
        <v>216</v>
      </c>
      <c r="K6" s="1" t="s">
        <v>215</v>
      </c>
      <c r="L6" s="1" t="s">
        <v>236</v>
      </c>
      <c r="M6" s="1" t="s">
        <v>236</v>
      </c>
      <c r="N6" s="1" t="s">
        <v>235</v>
      </c>
      <c r="O6" s="24" t="str">
        <f>+VLOOKUP(N6,'base de clientes'!A:B,2,0)</f>
        <v>UNILEVER EL SALVADOR SCC S.A DE C.V.</v>
      </c>
      <c r="P6" s="1" t="s">
        <v>2</v>
      </c>
      <c r="Q6" s="1" t="s">
        <v>2</v>
      </c>
      <c r="R6" s="26">
        <v>1235.42</v>
      </c>
      <c r="S6" s="24">
        <f t="shared" si="1"/>
        <v>160.6046</v>
      </c>
      <c r="T6" s="1" t="s">
        <v>2</v>
      </c>
      <c r="U6" s="1" t="s">
        <v>2</v>
      </c>
      <c r="V6" s="25">
        <f t="shared" si="2"/>
        <v>1396.0246000000002</v>
      </c>
      <c r="W6" s="1" t="s">
        <v>1</v>
      </c>
      <c r="Y6" s="3">
        <f t="shared" si="3"/>
        <v>160.6</v>
      </c>
    </row>
    <row r="7" spans="1:25" x14ac:dyDescent="0.25">
      <c r="A7" s="1" t="s">
        <v>23</v>
      </c>
      <c r="C7" s="4" t="s">
        <v>61</v>
      </c>
      <c r="D7" s="4" t="s">
        <v>0</v>
      </c>
      <c r="E7" s="4" t="s">
        <v>30</v>
      </c>
      <c r="F7" s="4" t="s">
        <v>31</v>
      </c>
      <c r="G7" t="str">
        <f t="shared" si="0"/>
        <v>01/03/2021</v>
      </c>
      <c r="H7" s="4" t="s">
        <v>1</v>
      </c>
      <c r="I7" s="4" t="s">
        <v>0</v>
      </c>
      <c r="J7" s="1" t="s">
        <v>216</v>
      </c>
      <c r="K7" s="1" t="s">
        <v>215</v>
      </c>
      <c r="L7" s="1" t="s">
        <v>234</v>
      </c>
      <c r="M7" s="1" t="s">
        <v>234</v>
      </c>
      <c r="N7" s="1" t="s">
        <v>233</v>
      </c>
      <c r="O7" s="24" t="str">
        <f>+VLOOKUP(N7,'base de clientes'!A:B,2,0)</f>
        <v>SUPER REPUESTOS EL SALVADOR S.A DE C.V.</v>
      </c>
      <c r="P7" s="1" t="s">
        <v>2</v>
      </c>
      <c r="Q7" s="1" t="s">
        <v>2</v>
      </c>
      <c r="R7" s="26">
        <v>220</v>
      </c>
      <c r="S7" s="24">
        <f t="shared" si="1"/>
        <v>28.6</v>
      </c>
      <c r="T7" s="1" t="s">
        <v>2</v>
      </c>
      <c r="U7" s="1" t="s">
        <v>2</v>
      </c>
      <c r="V7" s="25">
        <f t="shared" si="2"/>
        <v>248.6</v>
      </c>
      <c r="W7" s="1" t="s">
        <v>1</v>
      </c>
      <c r="Y7" s="3">
        <f t="shared" si="3"/>
        <v>28.6</v>
      </c>
    </row>
    <row r="8" spans="1:25" x14ac:dyDescent="0.25">
      <c r="A8" s="1" t="s">
        <v>23</v>
      </c>
      <c r="C8" s="4" t="s">
        <v>61</v>
      </c>
      <c r="D8" s="4" t="s">
        <v>0</v>
      </c>
      <c r="E8" s="4" t="s">
        <v>30</v>
      </c>
      <c r="F8" s="4" t="s">
        <v>31</v>
      </c>
      <c r="G8" t="str">
        <f t="shared" si="0"/>
        <v>01/03/2021</v>
      </c>
      <c r="H8" s="4" t="s">
        <v>1</v>
      </c>
      <c r="I8" s="4" t="s">
        <v>0</v>
      </c>
      <c r="J8" s="1" t="s">
        <v>216</v>
      </c>
      <c r="K8" s="1" t="s">
        <v>215</v>
      </c>
      <c r="L8" s="1" t="s">
        <v>231</v>
      </c>
      <c r="M8" s="1" t="s">
        <v>231</v>
      </c>
      <c r="N8" s="1" t="s">
        <v>230</v>
      </c>
      <c r="O8" s="24" t="str">
        <f>+VLOOKUP(N8,'base de clientes'!A:B,2,0)</f>
        <v>NEGOCIOS CAMYRAM S.A DE C.V</v>
      </c>
      <c r="P8" s="1" t="s">
        <v>2</v>
      </c>
      <c r="Q8" s="1" t="s">
        <v>2</v>
      </c>
      <c r="R8" s="26">
        <v>360.26</v>
      </c>
      <c r="S8" s="24">
        <f t="shared" si="1"/>
        <v>46.833800000000004</v>
      </c>
      <c r="T8" s="1" t="s">
        <v>2</v>
      </c>
      <c r="U8" s="1" t="s">
        <v>2</v>
      </c>
      <c r="V8" s="25">
        <f t="shared" si="2"/>
        <v>407.09379999999999</v>
      </c>
      <c r="W8" s="1" t="s">
        <v>1</v>
      </c>
      <c r="Y8" s="3">
        <f t="shared" si="3"/>
        <v>46.83</v>
      </c>
    </row>
    <row r="9" spans="1:25" x14ac:dyDescent="0.25">
      <c r="A9" s="1" t="s">
        <v>23</v>
      </c>
      <c r="C9" s="4" t="s">
        <v>61</v>
      </c>
      <c r="D9" s="4" t="s">
        <v>0</v>
      </c>
      <c r="E9" s="4" t="s">
        <v>30</v>
      </c>
      <c r="F9" s="4" t="s">
        <v>31</v>
      </c>
      <c r="G9" t="str">
        <f t="shared" si="0"/>
        <v>01/03/2021</v>
      </c>
      <c r="H9" s="4" t="s">
        <v>1</v>
      </c>
      <c r="I9" s="4" t="s">
        <v>0</v>
      </c>
      <c r="J9" s="1" t="s">
        <v>216</v>
      </c>
      <c r="K9" s="1" t="s">
        <v>215</v>
      </c>
      <c r="L9" s="1" t="s">
        <v>229</v>
      </c>
      <c r="M9" s="1" t="s">
        <v>229</v>
      </c>
      <c r="N9" s="1" t="s">
        <v>228</v>
      </c>
      <c r="O9" s="24" t="str">
        <f>+VLOOKUP(N9,'base de clientes'!A:B,2,0)</f>
        <v>POLYBAG S.A DE C.V.</v>
      </c>
      <c r="P9" s="1" t="s">
        <v>2</v>
      </c>
      <c r="Q9" s="1" t="s">
        <v>2</v>
      </c>
      <c r="R9" s="26">
        <v>375</v>
      </c>
      <c r="S9" s="24">
        <f t="shared" si="1"/>
        <v>48.75</v>
      </c>
      <c r="T9" s="1" t="s">
        <v>2</v>
      </c>
      <c r="U9" s="1" t="s">
        <v>2</v>
      </c>
      <c r="V9" s="25">
        <f t="shared" si="2"/>
        <v>423.75</v>
      </c>
      <c r="W9" s="1" t="s">
        <v>1</v>
      </c>
      <c r="Y9" s="3">
        <f t="shared" si="3"/>
        <v>48.75</v>
      </c>
    </row>
    <row r="10" spans="1:25" x14ac:dyDescent="0.25">
      <c r="A10" s="1" t="s">
        <v>23</v>
      </c>
      <c r="C10" s="4" t="s">
        <v>61</v>
      </c>
      <c r="D10" s="4" t="s">
        <v>0</v>
      </c>
      <c r="E10" s="4" t="s">
        <v>30</v>
      </c>
      <c r="F10" s="4" t="s">
        <v>31</v>
      </c>
      <c r="G10" t="str">
        <f t="shared" si="0"/>
        <v>01/03/2021</v>
      </c>
      <c r="H10" s="4" t="s">
        <v>1</v>
      </c>
      <c r="I10" s="4" t="s">
        <v>0</v>
      </c>
      <c r="J10" s="1" t="s">
        <v>216</v>
      </c>
      <c r="K10" s="1" t="s">
        <v>215</v>
      </c>
      <c r="L10" s="1" t="s">
        <v>227</v>
      </c>
      <c r="M10" s="1" t="s">
        <v>227</v>
      </c>
      <c r="N10" s="1" t="s">
        <v>226</v>
      </c>
      <c r="O10" s="24" t="str">
        <f>+VLOOKUP(N10,'base de clientes'!A:B,2,0)</f>
        <v>GRUPO PAILL S.A DE C.V.</v>
      </c>
      <c r="P10" s="1" t="s">
        <v>2</v>
      </c>
      <c r="Q10" s="1" t="s">
        <v>2</v>
      </c>
      <c r="R10" s="26">
        <v>1292.76</v>
      </c>
      <c r="S10" s="24">
        <f t="shared" si="1"/>
        <v>168.05879999999999</v>
      </c>
      <c r="T10" s="1" t="s">
        <v>2</v>
      </c>
      <c r="U10" s="1" t="s">
        <v>2</v>
      </c>
      <c r="V10" s="25">
        <f t="shared" si="2"/>
        <v>1460.8188</v>
      </c>
      <c r="W10" s="1" t="s">
        <v>1</v>
      </c>
      <c r="Y10" s="3">
        <f t="shared" si="3"/>
        <v>168.06</v>
      </c>
    </row>
    <row r="11" spans="1:25" x14ac:dyDescent="0.25">
      <c r="A11" s="1" t="s">
        <v>23</v>
      </c>
      <c r="C11" s="4" t="s">
        <v>61</v>
      </c>
      <c r="D11" s="4" t="s">
        <v>0</v>
      </c>
      <c r="E11" s="4" t="s">
        <v>30</v>
      </c>
      <c r="F11" s="4" t="s">
        <v>31</v>
      </c>
      <c r="G11" t="str">
        <f t="shared" si="0"/>
        <v>01/03/2021</v>
      </c>
      <c r="H11" s="4" t="s">
        <v>1</v>
      </c>
      <c r="I11" s="4" t="s">
        <v>0</v>
      </c>
      <c r="J11" s="1" t="s">
        <v>216</v>
      </c>
      <c r="K11" s="1" t="s">
        <v>215</v>
      </c>
      <c r="L11" s="1" t="s">
        <v>225</v>
      </c>
      <c r="M11" s="1" t="s">
        <v>225</v>
      </c>
      <c r="N11" s="1" t="s">
        <v>224</v>
      </c>
      <c r="O11" s="24" t="str">
        <f>+VLOOKUP(N11,'base de clientes'!A:B,2,0)</f>
        <v>LA CONSTANCIA LTDA DE C.V.</v>
      </c>
      <c r="P11" s="1" t="s">
        <v>2</v>
      </c>
      <c r="Q11" s="1" t="s">
        <v>2</v>
      </c>
      <c r="R11" s="26">
        <v>619.01</v>
      </c>
      <c r="S11" s="24">
        <f t="shared" si="1"/>
        <v>80.471299999999999</v>
      </c>
      <c r="T11" s="1" t="s">
        <v>2</v>
      </c>
      <c r="U11" s="1" t="s">
        <v>2</v>
      </c>
      <c r="V11" s="25">
        <f t="shared" si="2"/>
        <v>699.48130000000003</v>
      </c>
      <c r="W11" s="1" t="s">
        <v>1</v>
      </c>
      <c r="Y11" s="3">
        <f t="shared" si="3"/>
        <v>80.47</v>
      </c>
    </row>
    <row r="12" spans="1:25" x14ac:dyDescent="0.25">
      <c r="A12" s="1" t="s">
        <v>23</v>
      </c>
      <c r="C12" s="4" t="s">
        <v>61</v>
      </c>
      <c r="D12" s="4" t="s">
        <v>0</v>
      </c>
      <c r="E12" s="4" t="s">
        <v>30</v>
      </c>
      <c r="F12" s="4" t="s">
        <v>31</v>
      </c>
      <c r="G12" t="str">
        <f t="shared" si="0"/>
        <v>01/03/2021</v>
      </c>
      <c r="H12" s="4" t="s">
        <v>1</v>
      </c>
      <c r="I12" s="4" t="s">
        <v>0</v>
      </c>
      <c r="J12" s="1" t="s">
        <v>216</v>
      </c>
      <c r="K12" s="1" t="s">
        <v>215</v>
      </c>
      <c r="L12" s="1" t="s">
        <v>223</v>
      </c>
      <c r="M12" s="1" t="s">
        <v>223</v>
      </c>
      <c r="N12" s="1" t="s">
        <v>213</v>
      </c>
      <c r="O12" s="24" t="str">
        <f>+VLOOKUP(N12,'base de clientes'!A:B,2,0)</f>
        <v>PRODUCTOS CARNICOS S.A DE C.V.</v>
      </c>
      <c r="P12" s="1" t="s">
        <v>2</v>
      </c>
      <c r="Q12" s="1" t="s">
        <v>2</v>
      </c>
      <c r="R12" s="26">
        <v>344.6</v>
      </c>
      <c r="S12" s="24">
        <f t="shared" si="1"/>
        <v>44.798000000000002</v>
      </c>
      <c r="T12" s="1" t="s">
        <v>2</v>
      </c>
      <c r="U12" s="1" t="s">
        <v>2</v>
      </c>
      <c r="V12" s="25">
        <f t="shared" si="2"/>
        <v>389.39800000000002</v>
      </c>
      <c r="W12" s="1" t="s">
        <v>1</v>
      </c>
      <c r="Y12" s="3">
        <f t="shared" si="3"/>
        <v>44.8</v>
      </c>
    </row>
    <row r="13" spans="1:25" x14ac:dyDescent="0.25">
      <c r="A13" s="1" t="s">
        <v>23</v>
      </c>
      <c r="C13" s="4" t="s">
        <v>61</v>
      </c>
      <c r="D13" s="4" t="s">
        <v>0</v>
      </c>
      <c r="E13" s="4" t="s">
        <v>30</v>
      </c>
      <c r="F13" s="4" t="s">
        <v>31</v>
      </c>
      <c r="G13" t="str">
        <f t="shared" si="0"/>
        <v>01/03/2021</v>
      </c>
      <c r="H13" s="4" t="s">
        <v>1</v>
      </c>
      <c r="I13" s="4" t="s">
        <v>0</v>
      </c>
      <c r="J13" s="1" t="s">
        <v>216</v>
      </c>
      <c r="K13" s="1" t="s">
        <v>215</v>
      </c>
      <c r="L13" s="1" t="s">
        <v>222</v>
      </c>
      <c r="M13" s="1" t="s">
        <v>222</v>
      </c>
      <c r="N13" s="1" t="s">
        <v>221</v>
      </c>
      <c r="O13" s="24" t="str">
        <f>+VLOOKUP(N13,'base de clientes'!A:B,2,0)</f>
        <v>DIDEA S.A DE C.V.</v>
      </c>
      <c r="P13" s="1" t="s">
        <v>2</v>
      </c>
      <c r="Q13" s="1" t="s">
        <v>2</v>
      </c>
      <c r="R13" s="26">
        <v>141.1</v>
      </c>
      <c r="S13" s="24">
        <f t="shared" si="1"/>
        <v>18.343</v>
      </c>
      <c r="T13" s="1" t="s">
        <v>2</v>
      </c>
      <c r="U13" s="1" t="s">
        <v>2</v>
      </c>
      <c r="V13" s="25">
        <f t="shared" si="2"/>
        <v>159.44299999999998</v>
      </c>
      <c r="W13" s="1" t="s">
        <v>1</v>
      </c>
      <c r="Y13" s="3">
        <f t="shared" si="3"/>
        <v>18.34</v>
      </c>
    </row>
    <row r="14" spans="1:25" x14ac:dyDescent="0.25">
      <c r="A14" s="1" t="s">
        <v>23</v>
      </c>
      <c r="C14" s="4" t="s">
        <v>61</v>
      </c>
      <c r="D14" s="4" t="s">
        <v>0</v>
      </c>
      <c r="E14" s="4" t="s">
        <v>30</v>
      </c>
      <c r="F14" s="4" t="s">
        <v>31</v>
      </c>
      <c r="G14" t="str">
        <f t="shared" si="0"/>
        <v>01/03/2021</v>
      </c>
      <c r="H14" s="4" t="s">
        <v>1</v>
      </c>
      <c r="I14" s="4" t="s">
        <v>0</v>
      </c>
      <c r="J14" s="1" t="s">
        <v>216</v>
      </c>
      <c r="K14" s="1" t="s">
        <v>215</v>
      </c>
      <c r="L14" s="1" t="s">
        <v>220</v>
      </c>
      <c r="M14" s="1" t="s">
        <v>220</v>
      </c>
      <c r="N14" s="1" t="s">
        <v>219</v>
      </c>
      <c r="O14" s="24" t="str">
        <f>+VLOOKUP(N14,'base de clientes'!A:B,2,0)</f>
        <v>NEMTEX S.A DE C.V.</v>
      </c>
      <c r="P14" s="1" t="s">
        <v>2</v>
      </c>
      <c r="Q14" s="1" t="s">
        <v>2</v>
      </c>
      <c r="R14" s="26">
        <v>255.92</v>
      </c>
      <c r="S14" s="24">
        <f t="shared" si="1"/>
        <v>33.269599999999997</v>
      </c>
      <c r="T14" s="1" t="s">
        <v>2</v>
      </c>
      <c r="U14" s="1" t="s">
        <v>2</v>
      </c>
      <c r="V14" s="25">
        <f t="shared" si="2"/>
        <v>289.18959999999998</v>
      </c>
      <c r="W14" s="1" t="s">
        <v>1</v>
      </c>
      <c r="Y14" s="3">
        <f t="shared" si="3"/>
        <v>33.270000000000003</v>
      </c>
    </row>
    <row r="15" spans="1:25" x14ac:dyDescent="0.25">
      <c r="A15" s="1" t="s">
        <v>23</v>
      </c>
      <c r="C15" s="4" t="s">
        <v>61</v>
      </c>
      <c r="D15" s="4" t="s">
        <v>0</v>
      </c>
      <c r="E15" s="4" t="s">
        <v>30</v>
      </c>
      <c r="F15" s="4" t="s">
        <v>31</v>
      </c>
      <c r="G15" t="str">
        <f t="shared" si="0"/>
        <v>01/03/2021</v>
      </c>
      <c r="H15" s="4" t="s">
        <v>1</v>
      </c>
      <c r="I15" s="4" t="s">
        <v>0</v>
      </c>
      <c r="J15" s="1" t="s">
        <v>216</v>
      </c>
      <c r="K15" s="1" t="s">
        <v>215</v>
      </c>
      <c r="L15" s="1" t="s">
        <v>218</v>
      </c>
      <c r="M15" s="1" t="s">
        <v>218</v>
      </c>
      <c r="N15" s="1" t="s">
        <v>217</v>
      </c>
      <c r="O15" s="24" t="str">
        <f>+VLOOKUP(N15,'base de clientes'!A:B,2,0)</f>
        <v>OPERADORA DEL SUR, S. A. DE C.V.</v>
      </c>
      <c r="P15" s="1" t="s">
        <v>2</v>
      </c>
      <c r="Q15" s="1" t="s">
        <v>2</v>
      </c>
      <c r="R15" s="26">
        <v>112.09</v>
      </c>
      <c r="S15" s="24">
        <f t="shared" si="1"/>
        <v>14.571700000000002</v>
      </c>
      <c r="T15" s="1" t="s">
        <v>2</v>
      </c>
      <c r="U15" s="1" t="s">
        <v>2</v>
      </c>
      <c r="V15" s="25">
        <f t="shared" si="2"/>
        <v>126.66170000000001</v>
      </c>
      <c r="W15" s="1" t="s">
        <v>1</v>
      </c>
      <c r="Y15" s="3">
        <f t="shared" si="3"/>
        <v>14.57</v>
      </c>
    </row>
    <row r="16" spans="1:25" x14ac:dyDescent="0.25">
      <c r="A16" s="1" t="s">
        <v>23</v>
      </c>
      <c r="C16" s="4" t="s">
        <v>61</v>
      </c>
      <c r="D16" s="4" t="s">
        <v>0</v>
      </c>
      <c r="E16" s="4" t="s">
        <v>30</v>
      </c>
      <c r="F16" s="4" t="s">
        <v>31</v>
      </c>
      <c r="G16" t="str">
        <f t="shared" si="0"/>
        <v>01/03/2021</v>
      </c>
      <c r="H16" s="4" t="s">
        <v>1</v>
      </c>
      <c r="I16" s="4" t="s">
        <v>0</v>
      </c>
      <c r="J16" s="1" t="s">
        <v>216</v>
      </c>
      <c r="K16" s="1" t="s">
        <v>215</v>
      </c>
      <c r="L16" s="1" t="s">
        <v>214</v>
      </c>
      <c r="M16" s="1" t="s">
        <v>214</v>
      </c>
      <c r="N16" s="1" t="s">
        <v>213</v>
      </c>
      <c r="O16" s="24" t="str">
        <f>+VLOOKUP(N16,'base de clientes'!A:B,2,0)</f>
        <v>PRODUCTOS CARNICOS S.A DE C.V.</v>
      </c>
      <c r="P16" s="1" t="s">
        <v>2</v>
      </c>
      <c r="Q16" s="1" t="s">
        <v>2</v>
      </c>
      <c r="R16" s="26">
        <v>2910.32</v>
      </c>
      <c r="S16" s="24">
        <f t="shared" si="1"/>
        <v>378.34160000000003</v>
      </c>
      <c r="T16" s="1" t="s">
        <v>2</v>
      </c>
      <c r="U16" s="1" t="s">
        <v>2</v>
      </c>
      <c r="V16" s="25">
        <f t="shared" si="2"/>
        <v>3288.6616000000004</v>
      </c>
      <c r="W16" s="1" t="s">
        <v>1</v>
      </c>
      <c r="Y16" s="3">
        <f t="shared" si="3"/>
        <v>378.34</v>
      </c>
    </row>
    <row r="17" spans="1:25" x14ac:dyDescent="0.25">
      <c r="A17" s="1" t="s">
        <v>23</v>
      </c>
      <c r="C17" s="4" t="s">
        <v>43</v>
      </c>
      <c r="D17" s="4" t="s">
        <v>0</v>
      </c>
      <c r="E17" s="4" t="s">
        <v>30</v>
      </c>
      <c r="F17" s="4" t="s">
        <v>31</v>
      </c>
      <c r="G17" t="str">
        <f t="shared" si="0"/>
        <v>02/03/2021</v>
      </c>
      <c r="H17" s="4" t="s">
        <v>1</v>
      </c>
      <c r="I17" s="4" t="s">
        <v>0</v>
      </c>
      <c r="J17" s="1" t="s">
        <v>216</v>
      </c>
      <c r="K17" s="1" t="s">
        <v>215</v>
      </c>
      <c r="L17" s="1" t="s">
        <v>251</v>
      </c>
      <c r="M17" s="1" t="s">
        <v>251</v>
      </c>
      <c r="N17" s="1" t="s">
        <v>233</v>
      </c>
      <c r="O17" s="24" t="str">
        <f>+VLOOKUP(N17,'base de clientes'!A:B,2,0)</f>
        <v>SUPER REPUESTOS EL SALVADOR S.A DE C.V.</v>
      </c>
      <c r="P17" s="1" t="s">
        <v>2</v>
      </c>
      <c r="Q17" s="1" t="s">
        <v>2</v>
      </c>
      <c r="R17" s="26">
        <v>154.33000000000001</v>
      </c>
      <c r="S17" s="24">
        <f t="shared" si="1"/>
        <v>20.062900000000003</v>
      </c>
      <c r="T17" s="1" t="s">
        <v>2</v>
      </c>
      <c r="U17" s="1" t="s">
        <v>2</v>
      </c>
      <c r="V17" s="25">
        <f t="shared" si="2"/>
        <v>174.39290000000003</v>
      </c>
      <c r="W17" s="1" t="s">
        <v>1</v>
      </c>
      <c r="Y17" s="3">
        <f t="shared" si="3"/>
        <v>20.059999999999999</v>
      </c>
    </row>
    <row r="18" spans="1:25" x14ac:dyDescent="0.25">
      <c r="A18" s="1" t="s">
        <v>23</v>
      </c>
      <c r="C18" s="4" t="s">
        <v>43</v>
      </c>
      <c r="D18" s="4" t="s">
        <v>0</v>
      </c>
      <c r="E18" s="4" t="s">
        <v>30</v>
      </c>
      <c r="F18" s="4" t="s">
        <v>31</v>
      </c>
      <c r="G18" t="str">
        <f t="shared" si="0"/>
        <v>02/03/2021</v>
      </c>
      <c r="H18" s="4" t="s">
        <v>1</v>
      </c>
      <c r="I18" s="4" t="s">
        <v>0</v>
      </c>
      <c r="J18" s="1" t="s">
        <v>216</v>
      </c>
      <c r="K18" s="1" t="s">
        <v>215</v>
      </c>
      <c r="L18" s="1" t="s">
        <v>250</v>
      </c>
      <c r="M18" s="1" t="s">
        <v>250</v>
      </c>
      <c r="N18" s="1" t="s">
        <v>249</v>
      </c>
      <c r="O18" s="24" t="str">
        <f>+VLOOKUP(N18,'base de clientes'!A:B,2,0)</f>
        <v>PROGURSA S.A DE C.V.</v>
      </c>
      <c r="P18" s="1" t="s">
        <v>2</v>
      </c>
      <c r="Q18" s="1" t="s">
        <v>2</v>
      </c>
      <c r="R18" s="26">
        <v>157.63999999999999</v>
      </c>
      <c r="S18" s="24">
        <f t="shared" si="1"/>
        <v>20.493199999999998</v>
      </c>
      <c r="T18" s="1" t="s">
        <v>2</v>
      </c>
      <c r="U18" s="1" t="s">
        <v>2</v>
      </c>
      <c r="V18" s="25">
        <f t="shared" si="2"/>
        <v>178.13319999999999</v>
      </c>
      <c r="W18" s="1" t="s">
        <v>1</v>
      </c>
      <c r="Y18" s="3">
        <f t="shared" si="3"/>
        <v>20.49</v>
      </c>
    </row>
    <row r="19" spans="1:25" x14ac:dyDescent="0.25">
      <c r="A19" s="1" t="s">
        <v>23</v>
      </c>
      <c r="C19" s="4" t="s">
        <v>43</v>
      </c>
      <c r="D19" s="4" t="s">
        <v>0</v>
      </c>
      <c r="E19" s="4" t="s">
        <v>30</v>
      </c>
      <c r="F19" s="4" t="s">
        <v>31</v>
      </c>
      <c r="G19" t="str">
        <f t="shared" si="0"/>
        <v>02/03/2021</v>
      </c>
      <c r="H19" s="4" t="s">
        <v>1</v>
      </c>
      <c r="I19" s="4" t="s">
        <v>0</v>
      </c>
      <c r="J19" s="1" t="s">
        <v>216</v>
      </c>
      <c r="K19" s="1" t="s">
        <v>215</v>
      </c>
      <c r="L19" s="1" t="s">
        <v>248</v>
      </c>
      <c r="M19" s="1" t="s">
        <v>248</v>
      </c>
      <c r="N19" s="1" t="s">
        <v>247</v>
      </c>
      <c r="O19" s="24" t="str">
        <f>+VLOOKUP(N19,'base de clientes'!A:B,2,0)</f>
        <v>HOTELES S.A DE C.V.</v>
      </c>
      <c r="P19" s="1" t="s">
        <v>2</v>
      </c>
      <c r="Q19" s="1" t="s">
        <v>2</v>
      </c>
      <c r="R19" s="26">
        <v>750</v>
      </c>
      <c r="S19" s="24">
        <f t="shared" si="1"/>
        <v>97.5</v>
      </c>
      <c r="T19" s="1" t="s">
        <v>2</v>
      </c>
      <c r="U19" s="1" t="s">
        <v>2</v>
      </c>
      <c r="V19" s="25">
        <f t="shared" si="2"/>
        <v>847.5</v>
      </c>
      <c r="W19" s="1" t="s">
        <v>1</v>
      </c>
      <c r="Y19" s="3">
        <f t="shared" si="3"/>
        <v>97.5</v>
      </c>
    </row>
    <row r="20" spans="1:25" x14ac:dyDescent="0.25">
      <c r="A20" s="1" t="s">
        <v>23</v>
      </c>
      <c r="C20" s="4" t="s">
        <v>43</v>
      </c>
      <c r="D20" s="4" t="s">
        <v>0</v>
      </c>
      <c r="E20" s="4" t="s">
        <v>30</v>
      </c>
      <c r="F20" s="4" t="s">
        <v>31</v>
      </c>
      <c r="G20" t="str">
        <f t="shared" si="0"/>
        <v>02/03/2021</v>
      </c>
      <c r="H20" s="4" t="s">
        <v>1</v>
      </c>
      <c r="I20" s="4" t="s">
        <v>0</v>
      </c>
      <c r="J20" s="1" t="s">
        <v>216</v>
      </c>
      <c r="K20" s="1" t="s">
        <v>215</v>
      </c>
      <c r="L20" s="1" t="s">
        <v>246</v>
      </c>
      <c r="M20" s="1" t="s">
        <v>246</v>
      </c>
      <c r="N20" s="1" t="s">
        <v>239</v>
      </c>
      <c r="O20" s="24" t="str">
        <f>+VLOOKUP(N20,'base de clientes'!A:B,2,0)</f>
        <v>PINTURA Y ENDEREZADO S.A DE C.V.</v>
      </c>
      <c r="P20" s="1" t="s">
        <v>2</v>
      </c>
      <c r="Q20" s="1" t="s">
        <v>2</v>
      </c>
      <c r="R20" s="26">
        <v>161.02000000000001</v>
      </c>
      <c r="S20" s="24">
        <f t="shared" si="1"/>
        <v>20.932600000000001</v>
      </c>
      <c r="T20" s="1" t="s">
        <v>2</v>
      </c>
      <c r="U20" s="1" t="s">
        <v>2</v>
      </c>
      <c r="V20" s="25">
        <f t="shared" si="2"/>
        <v>181.95260000000002</v>
      </c>
      <c r="W20" s="1" t="s">
        <v>1</v>
      </c>
      <c r="Y20" s="3">
        <f t="shared" si="3"/>
        <v>20.93</v>
      </c>
    </row>
    <row r="21" spans="1:25" x14ac:dyDescent="0.25">
      <c r="A21" s="1" t="s">
        <v>23</v>
      </c>
      <c r="C21" s="4" t="s">
        <v>43</v>
      </c>
      <c r="D21" s="4" t="s">
        <v>0</v>
      </c>
      <c r="E21" s="4" t="s">
        <v>30</v>
      </c>
      <c r="F21" s="4" t="s">
        <v>31</v>
      </c>
      <c r="G21" t="str">
        <f t="shared" si="0"/>
        <v>02/03/2021</v>
      </c>
      <c r="H21" s="4" t="s">
        <v>1</v>
      </c>
      <c r="I21" s="4" t="s">
        <v>0</v>
      </c>
      <c r="J21" s="1" t="s">
        <v>216</v>
      </c>
      <c r="K21" s="1" t="s">
        <v>215</v>
      </c>
      <c r="L21" s="1" t="s">
        <v>245</v>
      </c>
      <c r="M21" s="1" t="s">
        <v>245</v>
      </c>
      <c r="N21" s="1" t="s">
        <v>237</v>
      </c>
      <c r="O21" s="24" t="str">
        <f>+VLOOKUP(N21,'base de clientes'!A:B,2,0)</f>
        <v>TALLER DIDEA, S.A. DE C.V.</v>
      </c>
      <c r="P21" s="1" t="s">
        <v>2</v>
      </c>
      <c r="Q21" s="1" t="s">
        <v>2</v>
      </c>
      <c r="R21" s="26">
        <v>377.6</v>
      </c>
      <c r="S21" s="24">
        <f t="shared" si="1"/>
        <v>49.088000000000008</v>
      </c>
      <c r="T21" s="1" t="s">
        <v>2</v>
      </c>
      <c r="U21" s="1" t="s">
        <v>2</v>
      </c>
      <c r="V21" s="25">
        <f t="shared" si="2"/>
        <v>426.68800000000005</v>
      </c>
      <c r="W21" s="1" t="s">
        <v>1</v>
      </c>
      <c r="Y21" s="3">
        <f t="shared" si="3"/>
        <v>49.09</v>
      </c>
    </row>
    <row r="22" spans="1:25" x14ac:dyDescent="0.25">
      <c r="A22" s="1" t="s">
        <v>23</v>
      </c>
      <c r="C22" s="4" t="s">
        <v>43</v>
      </c>
      <c r="D22" s="4" t="s">
        <v>0</v>
      </c>
      <c r="E22" s="4" t="s">
        <v>30</v>
      </c>
      <c r="F22" s="4" t="s">
        <v>31</v>
      </c>
      <c r="G22" t="str">
        <f t="shared" si="0"/>
        <v>02/03/2021</v>
      </c>
      <c r="H22" s="4" t="s">
        <v>1</v>
      </c>
      <c r="I22" s="4" t="s">
        <v>0</v>
      </c>
      <c r="J22" s="1" t="s">
        <v>216</v>
      </c>
      <c r="K22" s="1" t="s">
        <v>215</v>
      </c>
      <c r="L22" s="1" t="s">
        <v>244</v>
      </c>
      <c r="M22" s="1" t="s">
        <v>244</v>
      </c>
      <c r="N22" s="1" t="s">
        <v>221</v>
      </c>
      <c r="O22" s="24" t="str">
        <f>+VLOOKUP(N22,'base de clientes'!A:B,2,0)</f>
        <v>DIDEA S.A DE C.V.</v>
      </c>
      <c r="P22" s="1" t="s">
        <v>2</v>
      </c>
      <c r="Q22" s="1" t="s">
        <v>2</v>
      </c>
      <c r="R22" s="26">
        <v>141.1</v>
      </c>
      <c r="S22" s="24">
        <f t="shared" si="1"/>
        <v>18.343</v>
      </c>
      <c r="T22" s="1" t="s">
        <v>2</v>
      </c>
      <c r="U22" s="1" t="s">
        <v>2</v>
      </c>
      <c r="V22" s="25">
        <f t="shared" si="2"/>
        <v>159.44299999999998</v>
      </c>
      <c r="W22" s="1" t="s">
        <v>1</v>
      </c>
      <c r="Y22" s="3">
        <f t="shared" si="3"/>
        <v>18.34</v>
      </c>
    </row>
    <row r="23" spans="1:25" x14ac:dyDescent="0.25">
      <c r="A23" s="1" t="s">
        <v>23</v>
      </c>
      <c r="C23" s="4" t="s">
        <v>43</v>
      </c>
      <c r="D23" s="4" t="s">
        <v>0</v>
      </c>
      <c r="E23" s="4" t="s">
        <v>30</v>
      </c>
      <c r="F23" s="4" t="s">
        <v>31</v>
      </c>
      <c r="G23" t="str">
        <f t="shared" si="0"/>
        <v>02/03/2021</v>
      </c>
      <c r="H23" s="4" t="s">
        <v>1</v>
      </c>
      <c r="I23" s="4" t="s">
        <v>0</v>
      </c>
      <c r="J23" s="1" t="s">
        <v>216</v>
      </c>
      <c r="K23" s="1" t="s">
        <v>215</v>
      </c>
      <c r="L23" s="1" t="s">
        <v>243</v>
      </c>
      <c r="M23" s="1" t="s">
        <v>243</v>
      </c>
      <c r="N23" s="1" t="s">
        <v>226</v>
      </c>
      <c r="O23" s="24" t="str">
        <f>+VLOOKUP(N23,'base de clientes'!A:B,2,0)</f>
        <v>GRUPO PAILL S.A DE C.V.</v>
      </c>
      <c r="P23" s="1" t="s">
        <v>2</v>
      </c>
      <c r="Q23" s="1" t="s">
        <v>2</v>
      </c>
      <c r="R23" s="26">
        <v>1149.1199999999999</v>
      </c>
      <c r="S23" s="24">
        <f t="shared" si="1"/>
        <v>149.38559999999998</v>
      </c>
      <c r="T23" s="1" t="s">
        <v>2</v>
      </c>
      <c r="U23" s="1" t="s">
        <v>2</v>
      </c>
      <c r="V23" s="25">
        <f t="shared" si="2"/>
        <v>1298.5056</v>
      </c>
      <c r="W23" s="1" t="s">
        <v>1</v>
      </c>
      <c r="Y23" s="3">
        <f t="shared" si="3"/>
        <v>149.38999999999999</v>
      </c>
    </row>
    <row r="24" spans="1:25" x14ac:dyDescent="0.25">
      <c r="A24" s="1" t="s">
        <v>23</v>
      </c>
      <c r="C24" s="4" t="s">
        <v>0</v>
      </c>
      <c r="D24" s="4" t="s">
        <v>0</v>
      </c>
      <c r="E24" s="4" t="s">
        <v>30</v>
      </c>
      <c r="F24" s="4" t="s">
        <v>31</v>
      </c>
      <c r="G24" t="str">
        <f t="shared" si="0"/>
        <v>03/03/2021</v>
      </c>
      <c r="H24" s="4" t="s">
        <v>1</v>
      </c>
      <c r="I24" s="4" t="s">
        <v>0</v>
      </c>
      <c r="J24" s="1" t="s">
        <v>216</v>
      </c>
      <c r="K24" s="1" t="s">
        <v>215</v>
      </c>
      <c r="L24" s="1" t="s">
        <v>255</v>
      </c>
      <c r="M24" s="1" t="s">
        <v>255</v>
      </c>
      <c r="N24" s="1" t="s">
        <v>252</v>
      </c>
      <c r="O24" s="24" t="str">
        <f>+VLOOKUP(N24,'base de clientes'!A:B,2,0)</f>
        <v>BANCO AGRICOLA, S.A.</v>
      </c>
      <c r="P24" s="1" t="s">
        <v>2</v>
      </c>
      <c r="Q24" s="1" t="s">
        <v>2</v>
      </c>
      <c r="R24" s="26">
        <v>368.94</v>
      </c>
      <c r="S24" s="24">
        <f t="shared" si="1"/>
        <v>47.962200000000003</v>
      </c>
      <c r="T24" s="1" t="s">
        <v>2</v>
      </c>
      <c r="U24" s="1" t="s">
        <v>2</v>
      </c>
      <c r="V24" s="25">
        <f t="shared" si="2"/>
        <v>416.90219999999999</v>
      </c>
      <c r="W24" s="1" t="s">
        <v>1</v>
      </c>
      <c r="Y24" s="3">
        <f t="shared" si="3"/>
        <v>47.96</v>
      </c>
    </row>
    <row r="25" spans="1:25" x14ac:dyDescent="0.25">
      <c r="A25" s="1" t="s">
        <v>23</v>
      </c>
      <c r="C25" s="4" t="s">
        <v>0</v>
      </c>
      <c r="D25" s="4" t="s">
        <v>0</v>
      </c>
      <c r="E25" s="4" t="s">
        <v>30</v>
      </c>
      <c r="F25" s="4" t="s">
        <v>31</v>
      </c>
      <c r="G25" t="str">
        <f t="shared" si="0"/>
        <v>03/03/2021</v>
      </c>
      <c r="H25" s="4" t="s">
        <v>1</v>
      </c>
      <c r="I25" s="4" t="s">
        <v>0</v>
      </c>
      <c r="J25" s="1" t="s">
        <v>216</v>
      </c>
      <c r="K25" s="1" t="s">
        <v>215</v>
      </c>
      <c r="L25" s="1" t="s">
        <v>254</v>
      </c>
      <c r="M25" s="1" t="s">
        <v>254</v>
      </c>
      <c r="N25" s="1" t="s">
        <v>252</v>
      </c>
      <c r="O25" s="24" t="str">
        <f>+VLOOKUP(N25,'base de clientes'!A:B,2,0)</f>
        <v>BANCO AGRICOLA, S.A.</v>
      </c>
      <c r="P25" s="1" t="s">
        <v>2</v>
      </c>
      <c r="Q25" s="1" t="s">
        <v>2</v>
      </c>
      <c r="R25" s="26">
        <v>152.65</v>
      </c>
      <c r="S25" s="24">
        <f t="shared" si="1"/>
        <v>19.8445</v>
      </c>
      <c r="T25" s="1" t="s">
        <v>2</v>
      </c>
      <c r="U25" s="1" t="s">
        <v>2</v>
      </c>
      <c r="V25" s="25">
        <f t="shared" si="2"/>
        <v>172.49450000000002</v>
      </c>
      <c r="W25" s="1" t="s">
        <v>1</v>
      </c>
      <c r="Y25" s="3">
        <f t="shared" si="3"/>
        <v>19.84</v>
      </c>
    </row>
    <row r="26" spans="1:25" x14ac:dyDescent="0.25">
      <c r="A26" s="1" t="s">
        <v>23</v>
      </c>
      <c r="C26" s="4" t="s">
        <v>0</v>
      </c>
      <c r="D26" s="4" t="s">
        <v>0</v>
      </c>
      <c r="E26" s="4" t="s">
        <v>30</v>
      </c>
      <c r="F26" s="4" t="s">
        <v>31</v>
      </c>
      <c r="G26" t="str">
        <f t="shared" si="0"/>
        <v>03/03/2021</v>
      </c>
      <c r="H26" s="4" t="s">
        <v>1</v>
      </c>
      <c r="I26" s="4" t="s">
        <v>0</v>
      </c>
      <c r="J26" s="1" t="s">
        <v>216</v>
      </c>
      <c r="K26" s="1" t="s">
        <v>215</v>
      </c>
      <c r="L26" s="1" t="s">
        <v>253</v>
      </c>
      <c r="M26" s="1" t="s">
        <v>253</v>
      </c>
      <c r="N26" s="1" t="s">
        <v>252</v>
      </c>
      <c r="O26" s="24" t="str">
        <f>+VLOOKUP(N26,'base de clientes'!A:B,2,0)</f>
        <v>BANCO AGRICOLA, S.A.</v>
      </c>
      <c r="P26" s="1" t="s">
        <v>2</v>
      </c>
      <c r="Q26" s="1" t="s">
        <v>2</v>
      </c>
      <c r="R26" s="26">
        <v>152.65</v>
      </c>
      <c r="S26" s="24">
        <f t="shared" si="1"/>
        <v>19.8445</v>
      </c>
      <c r="T26" s="1" t="s">
        <v>2</v>
      </c>
      <c r="U26" s="1" t="s">
        <v>2</v>
      </c>
      <c r="V26" s="25">
        <f t="shared" si="2"/>
        <v>172.49450000000002</v>
      </c>
      <c r="W26" s="1" t="s">
        <v>1</v>
      </c>
      <c r="Y26" s="3">
        <f t="shared" si="3"/>
        <v>19.84</v>
      </c>
    </row>
    <row r="27" spans="1:25" hidden="1" x14ac:dyDescent="0.25">
      <c r="A27" s="1" t="s">
        <v>23</v>
      </c>
      <c r="C27" s="4" t="s">
        <v>56</v>
      </c>
      <c r="D27" s="4" t="s">
        <v>0</v>
      </c>
      <c r="E27" s="4" t="s">
        <v>30</v>
      </c>
      <c r="F27" s="4" t="s">
        <v>31</v>
      </c>
      <c r="G27" t="str">
        <f t="shared" si="0"/>
        <v>05/03/2021</v>
      </c>
      <c r="H27" s="4" t="s">
        <v>1</v>
      </c>
      <c r="I27" s="4" t="s">
        <v>0</v>
      </c>
      <c r="J27" s="1" t="s">
        <v>216</v>
      </c>
      <c r="K27" s="1" t="s">
        <v>215</v>
      </c>
      <c r="L27" s="1" t="s">
        <v>257</v>
      </c>
      <c r="M27" s="1" t="s">
        <v>257</v>
      </c>
      <c r="N27" s="1" t="s">
        <v>256</v>
      </c>
      <c r="O27" s="24" t="str">
        <f>+VLOOKUP(N27,'base de clientes'!A:B,2,0)</f>
        <v>ANULADO</v>
      </c>
      <c r="P27" s="1" t="s">
        <v>2</v>
      </c>
      <c r="Q27" s="1" t="s">
        <v>2</v>
      </c>
      <c r="R27" s="26">
        <v>0</v>
      </c>
      <c r="S27" s="24">
        <f t="shared" si="1"/>
        <v>0</v>
      </c>
      <c r="T27" s="1" t="s">
        <v>2</v>
      </c>
      <c r="U27" s="1" t="s">
        <v>2</v>
      </c>
      <c r="V27" s="25">
        <f t="shared" si="2"/>
        <v>0</v>
      </c>
      <c r="W27" s="1" t="s">
        <v>1</v>
      </c>
      <c r="Y27" s="3">
        <f t="shared" si="3"/>
        <v>0</v>
      </c>
    </row>
    <row r="28" spans="1:25" x14ac:dyDescent="0.25">
      <c r="A28" s="1" t="s">
        <v>23</v>
      </c>
      <c r="C28" s="4" t="s">
        <v>38</v>
      </c>
      <c r="D28" s="4" t="s">
        <v>0</v>
      </c>
      <c r="E28" s="4" t="s">
        <v>30</v>
      </c>
      <c r="F28" s="4" t="s">
        <v>31</v>
      </c>
      <c r="G28" t="str">
        <f t="shared" si="0"/>
        <v>08/03/2021</v>
      </c>
      <c r="H28" s="4" t="s">
        <v>1</v>
      </c>
      <c r="I28" s="4" t="s">
        <v>0</v>
      </c>
      <c r="J28" s="1" t="s">
        <v>216</v>
      </c>
      <c r="K28" s="1" t="s">
        <v>215</v>
      </c>
      <c r="L28" s="1" t="s">
        <v>260</v>
      </c>
      <c r="M28" s="1" t="s">
        <v>260</v>
      </c>
      <c r="N28" s="1" t="s">
        <v>219</v>
      </c>
      <c r="O28" s="24" t="str">
        <f>+VLOOKUP(N28,'base de clientes'!A:B,2,0)</f>
        <v>NEMTEX S.A DE C.V.</v>
      </c>
      <c r="P28" s="1" t="s">
        <v>2</v>
      </c>
      <c r="Q28" s="1" t="s">
        <v>2</v>
      </c>
      <c r="R28" s="26">
        <v>260.97000000000003</v>
      </c>
      <c r="S28" s="24">
        <f t="shared" si="1"/>
        <v>33.926100000000005</v>
      </c>
      <c r="T28" s="1" t="s">
        <v>2</v>
      </c>
      <c r="U28" s="1" t="s">
        <v>2</v>
      </c>
      <c r="V28" s="25">
        <f t="shared" si="2"/>
        <v>294.89610000000005</v>
      </c>
      <c r="W28" s="1" t="s">
        <v>1</v>
      </c>
      <c r="Y28" s="3">
        <f t="shared" si="3"/>
        <v>33.93</v>
      </c>
    </row>
    <row r="29" spans="1:25" x14ac:dyDescent="0.25">
      <c r="A29" s="1" t="s">
        <v>23</v>
      </c>
      <c r="C29" s="4" t="s">
        <v>38</v>
      </c>
      <c r="D29" s="4" t="s">
        <v>0</v>
      </c>
      <c r="E29" s="4" t="s">
        <v>30</v>
      </c>
      <c r="F29" s="4" t="s">
        <v>31</v>
      </c>
      <c r="G29" t="str">
        <f t="shared" si="0"/>
        <v>08/03/2021</v>
      </c>
      <c r="H29" s="4" t="s">
        <v>1</v>
      </c>
      <c r="I29" s="4" t="s">
        <v>0</v>
      </c>
      <c r="J29" s="1" t="s">
        <v>216</v>
      </c>
      <c r="K29" s="1" t="s">
        <v>215</v>
      </c>
      <c r="L29" s="1" t="s">
        <v>259</v>
      </c>
      <c r="M29" s="1" t="s">
        <v>259</v>
      </c>
      <c r="N29" s="1" t="s">
        <v>258</v>
      </c>
      <c r="O29" s="24" t="str">
        <f>+VLOOKUP(N29,'base de clientes'!A:B,2,0)</f>
        <v>INGENIERIA BEM S.A DE C.V.</v>
      </c>
      <c r="P29" s="1" t="s">
        <v>2</v>
      </c>
      <c r="Q29" s="1" t="s">
        <v>2</v>
      </c>
      <c r="R29" s="26">
        <v>188.08</v>
      </c>
      <c r="S29" s="24">
        <f t="shared" si="1"/>
        <v>24.450400000000002</v>
      </c>
      <c r="T29" s="1" t="s">
        <v>2</v>
      </c>
      <c r="U29" s="1" t="s">
        <v>2</v>
      </c>
      <c r="V29" s="25">
        <f t="shared" si="2"/>
        <v>212.53040000000001</v>
      </c>
      <c r="W29" s="1" t="s">
        <v>1</v>
      </c>
      <c r="Y29" s="3">
        <f t="shared" si="3"/>
        <v>24.45</v>
      </c>
    </row>
    <row r="30" spans="1:25" x14ac:dyDescent="0.25">
      <c r="A30" s="1" t="s">
        <v>23</v>
      </c>
      <c r="C30" s="4" t="s">
        <v>50</v>
      </c>
      <c r="D30" s="4" t="s">
        <v>0</v>
      </c>
      <c r="E30" s="4" t="s">
        <v>30</v>
      </c>
      <c r="F30" s="4" t="s">
        <v>31</v>
      </c>
      <c r="G30" t="str">
        <f t="shared" si="0"/>
        <v>12/03/2021</v>
      </c>
      <c r="H30" s="4" t="s">
        <v>1</v>
      </c>
      <c r="I30" s="4" t="s">
        <v>0</v>
      </c>
      <c r="J30" s="1" t="s">
        <v>216</v>
      </c>
      <c r="K30" s="1" t="s">
        <v>215</v>
      </c>
      <c r="L30" s="1" t="s">
        <v>266</v>
      </c>
      <c r="M30" s="1" t="s">
        <v>266</v>
      </c>
      <c r="N30" s="1" t="s">
        <v>217</v>
      </c>
      <c r="O30" s="24" t="str">
        <f>+VLOOKUP(N30,'base de clientes'!A:B,2,0)</f>
        <v>OPERADORA DEL SUR, S. A. DE C.V.</v>
      </c>
      <c r="P30" s="1" t="s">
        <v>2</v>
      </c>
      <c r="Q30" s="1" t="s">
        <v>2</v>
      </c>
      <c r="R30" s="26">
        <v>624.46</v>
      </c>
      <c r="S30" s="24">
        <f t="shared" si="1"/>
        <v>81.179800000000014</v>
      </c>
      <c r="T30" s="1" t="s">
        <v>2</v>
      </c>
      <c r="U30" s="1" t="s">
        <v>2</v>
      </c>
      <c r="V30" s="25">
        <f t="shared" si="2"/>
        <v>705.63980000000004</v>
      </c>
      <c r="W30" s="1" t="s">
        <v>1</v>
      </c>
      <c r="Y30" s="3">
        <f t="shared" si="3"/>
        <v>81.180000000000007</v>
      </c>
    </row>
    <row r="31" spans="1:25" x14ac:dyDescent="0.25">
      <c r="A31" s="1" t="s">
        <v>23</v>
      </c>
      <c r="C31" s="4" t="s">
        <v>50</v>
      </c>
      <c r="D31" s="4" t="s">
        <v>0</v>
      </c>
      <c r="E31" s="4" t="s">
        <v>30</v>
      </c>
      <c r="F31" s="4" t="s">
        <v>31</v>
      </c>
      <c r="G31" t="str">
        <f t="shared" si="0"/>
        <v>12/03/2021</v>
      </c>
      <c r="H31" s="4" t="s">
        <v>1</v>
      </c>
      <c r="I31" s="4" t="s">
        <v>0</v>
      </c>
      <c r="J31" s="1" t="s">
        <v>216</v>
      </c>
      <c r="K31" s="1" t="s">
        <v>215</v>
      </c>
      <c r="L31" s="1" t="s">
        <v>265</v>
      </c>
      <c r="M31" s="1" t="s">
        <v>265</v>
      </c>
      <c r="N31" s="1" t="s">
        <v>217</v>
      </c>
      <c r="O31" s="24" t="str">
        <f>+VLOOKUP(N31,'base de clientes'!A:B,2,0)</f>
        <v>OPERADORA DEL SUR, S. A. DE C.V.</v>
      </c>
      <c r="P31" s="1" t="s">
        <v>2</v>
      </c>
      <c r="Q31" s="1" t="s">
        <v>2</v>
      </c>
      <c r="R31" s="26">
        <v>279.04000000000002</v>
      </c>
      <c r="S31" s="24">
        <f t="shared" si="1"/>
        <v>36.275200000000005</v>
      </c>
      <c r="T31" s="1" t="s">
        <v>2</v>
      </c>
      <c r="U31" s="1" t="s">
        <v>2</v>
      </c>
      <c r="V31" s="25">
        <f t="shared" si="2"/>
        <v>315.3152</v>
      </c>
      <c r="W31" s="1" t="s">
        <v>1</v>
      </c>
      <c r="Y31" s="3">
        <f t="shared" si="3"/>
        <v>36.28</v>
      </c>
    </row>
    <row r="32" spans="1:25" x14ac:dyDescent="0.25">
      <c r="A32" s="1" t="s">
        <v>23</v>
      </c>
      <c r="C32" s="4" t="s">
        <v>50</v>
      </c>
      <c r="D32" s="4" t="s">
        <v>0</v>
      </c>
      <c r="E32" s="4" t="s">
        <v>30</v>
      </c>
      <c r="F32" s="4" t="s">
        <v>31</v>
      </c>
      <c r="G32" t="str">
        <f t="shared" si="0"/>
        <v>12/03/2021</v>
      </c>
      <c r="H32" s="4" t="s">
        <v>1</v>
      </c>
      <c r="I32" s="4" t="s">
        <v>0</v>
      </c>
      <c r="J32" s="1" t="s">
        <v>216</v>
      </c>
      <c r="K32" s="1" t="s">
        <v>215</v>
      </c>
      <c r="L32" s="1" t="s">
        <v>264</v>
      </c>
      <c r="M32" s="1" t="s">
        <v>264</v>
      </c>
      <c r="N32" s="1" t="s">
        <v>217</v>
      </c>
      <c r="O32" s="24" t="str">
        <f>+VLOOKUP(N32,'base de clientes'!A:B,2,0)</f>
        <v>OPERADORA DEL SUR, S. A. DE C.V.</v>
      </c>
      <c r="P32" s="1" t="s">
        <v>2</v>
      </c>
      <c r="Q32" s="1" t="s">
        <v>2</v>
      </c>
      <c r="R32" s="26">
        <v>500</v>
      </c>
      <c r="S32" s="24">
        <f t="shared" si="1"/>
        <v>65</v>
      </c>
      <c r="T32" s="1" t="s">
        <v>2</v>
      </c>
      <c r="U32" s="1" t="s">
        <v>2</v>
      </c>
      <c r="V32" s="25">
        <f t="shared" si="2"/>
        <v>565</v>
      </c>
      <c r="W32" s="1" t="s">
        <v>1</v>
      </c>
      <c r="Y32" s="3">
        <f t="shared" si="3"/>
        <v>65</v>
      </c>
    </row>
    <row r="33" spans="1:25" x14ac:dyDescent="0.25">
      <c r="A33" s="1" t="s">
        <v>23</v>
      </c>
      <c r="C33" s="4" t="s">
        <v>50</v>
      </c>
      <c r="D33" s="4" t="s">
        <v>0</v>
      </c>
      <c r="E33" s="4" t="s">
        <v>30</v>
      </c>
      <c r="F33" s="4" t="s">
        <v>31</v>
      </c>
      <c r="G33" t="str">
        <f t="shared" si="0"/>
        <v>12/03/2021</v>
      </c>
      <c r="H33" s="4" t="s">
        <v>1</v>
      </c>
      <c r="I33" s="4" t="s">
        <v>0</v>
      </c>
      <c r="J33" s="1" t="s">
        <v>216</v>
      </c>
      <c r="K33" s="1" t="s">
        <v>215</v>
      </c>
      <c r="L33" s="1" t="s">
        <v>263</v>
      </c>
      <c r="M33" s="1" t="s">
        <v>263</v>
      </c>
      <c r="N33" s="1" t="s">
        <v>217</v>
      </c>
      <c r="O33" s="24" t="str">
        <f>+VLOOKUP(N33,'base de clientes'!A:B,2,0)</f>
        <v>OPERADORA DEL SUR, S. A. DE C.V.</v>
      </c>
      <c r="P33" s="1" t="s">
        <v>2</v>
      </c>
      <c r="Q33" s="1" t="s">
        <v>2</v>
      </c>
      <c r="R33" s="26">
        <v>550</v>
      </c>
      <c r="S33" s="24">
        <f t="shared" si="1"/>
        <v>71.5</v>
      </c>
      <c r="T33" s="1" t="s">
        <v>2</v>
      </c>
      <c r="U33" s="1" t="s">
        <v>2</v>
      </c>
      <c r="V33" s="25">
        <f t="shared" si="2"/>
        <v>621.5</v>
      </c>
      <c r="W33" s="1" t="s">
        <v>1</v>
      </c>
      <c r="Y33" s="3">
        <f t="shared" si="3"/>
        <v>71.5</v>
      </c>
    </row>
    <row r="34" spans="1:25" x14ac:dyDescent="0.25">
      <c r="A34" s="1" t="s">
        <v>23</v>
      </c>
      <c r="C34" s="4" t="s">
        <v>50</v>
      </c>
      <c r="D34" s="4" t="s">
        <v>0</v>
      </c>
      <c r="E34" s="4" t="s">
        <v>30</v>
      </c>
      <c r="F34" s="4" t="s">
        <v>31</v>
      </c>
      <c r="G34" t="str">
        <f t="shared" si="0"/>
        <v>12/03/2021</v>
      </c>
      <c r="H34" s="4" t="s">
        <v>1</v>
      </c>
      <c r="I34" s="4" t="s">
        <v>0</v>
      </c>
      <c r="J34" s="1" t="s">
        <v>216</v>
      </c>
      <c r="K34" s="1" t="s">
        <v>215</v>
      </c>
      <c r="L34" s="1" t="s">
        <v>262</v>
      </c>
      <c r="M34" s="1" t="s">
        <v>262</v>
      </c>
      <c r="N34" s="1" t="s">
        <v>261</v>
      </c>
      <c r="O34" s="24" t="str">
        <f>+VLOOKUP(N34,'base de clientes'!A:B,2,0)</f>
        <v>ENMANUEL S.A DE C.V.</v>
      </c>
      <c r="P34" s="1" t="s">
        <v>2</v>
      </c>
      <c r="Q34" s="1" t="s">
        <v>2</v>
      </c>
      <c r="R34" s="26">
        <v>300</v>
      </c>
      <c r="S34" s="24">
        <f t="shared" si="1"/>
        <v>39</v>
      </c>
      <c r="T34" s="1" t="s">
        <v>2</v>
      </c>
      <c r="U34" s="1" t="s">
        <v>2</v>
      </c>
      <c r="V34" s="25">
        <f t="shared" si="2"/>
        <v>339</v>
      </c>
      <c r="W34" s="1" t="s">
        <v>1</v>
      </c>
      <c r="Y34" s="3">
        <f t="shared" si="3"/>
        <v>39</v>
      </c>
    </row>
    <row r="35" spans="1:25" x14ac:dyDescent="0.25">
      <c r="A35" s="1" t="s">
        <v>23</v>
      </c>
      <c r="C35" s="4" t="s">
        <v>39</v>
      </c>
      <c r="D35" s="4" t="s">
        <v>0</v>
      </c>
      <c r="E35" s="4" t="s">
        <v>30</v>
      </c>
      <c r="F35" s="4" t="s">
        <v>31</v>
      </c>
      <c r="G35" t="str">
        <f t="shared" si="0"/>
        <v>15/03/2021</v>
      </c>
      <c r="H35" s="4" t="s">
        <v>1</v>
      </c>
      <c r="I35" s="4" t="s">
        <v>0</v>
      </c>
      <c r="J35" s="1" t="s">
        <v>216</v>
      </c>
      <c r="K35" s="1" t="s">
        <v>215</v>
      </c>
      <c r="L35" s="1" t="s">
        <v>268</v>
      </c>
      <c r="M35" s="1" t="s">
        <v>268</v>
      </c>
      <c r="N35" s="1" t="s">
        <v>217</v>
      </c>
      <c r="O35" s="24" t="str">
        <f>+VLOOKUP(N35,'base de clientes'!A:B,2,0)</f>
        <v>OPERADORA DEL SUR, S. A. DE C.V.</v>
      </c>
      <c r="P35" s="1" t="s">
        <v>2</v>
      </c>
      <c r="Q35" s="1" t="s">
        <v>2</v>
      </c>
      <c r="R35" s="26">
        <v>2145.04</v>
      </c>
      <c r="S35" s="24">
        <f t="shared" si="1"/>
        <v>278.85520000000002</v>
      </c>
      <c r="T35" s="1" t="s">
        <v>2</v>
      </c>
      <c r="U35" s="1" t="s">
        <v>2</v>
      </c>
      <c r="V35" s="25">
        <f t="shared" si="2"/>
        <v>2423.8951999999999</v>
      </c>
      <c r="W35" s="1" t="s">
        <v>1</v>
      </c>
      <c r="Y35" s="3">
        <f t="shared" si="3"/>
        <v>278.86</v>
      </c>
    </row>
    <row r="36" spans="1:25" x14ac:dyDescent="0.25">
      <c r="A36" s="1" t="s">
        <v>23</v>
      </c>
      <c r="C36" s="4" t="s">
        <v>39</v>
      </c>
      <c r="D36" s="4" t="s">
        <v>0</v>
      </c>
      <c r="E36" s="4" t="s">
        <v>30</v>
      </c>
      <c r="F36" s="4" t="s">
        <v>31</v>
      </c>
      <c r="G36" t="str">
        <f t="shared" si="0"/>
        <v>15/03/2021</v>
      </c>
      <c r="H36" s="4" t="s">
        <v>1</v>
      </c>
      <c r="I36" s="4" t="s">
        <v>0</v>
      </c>
      <c r="J36" s="1" t="s">
        <v>216</v>
      </c>
      <c r="K36" s="1" t="s">
        <v>215</v>
      </c>
      <c r="L36" s="1" t="s">
        <v>267</v>
      </c>
      <c r="M36" s="1" t="s">
        <v>267</v>
      </c>
      <c r="N36" s="1" t="s">
        <v>217</v>
      </c>
      <c r="O36" s="24" t="str">
        <f>+VLOOKUP(N36,'base de clientes'!A:B,2,0)</f>
        <v>OPERADORA DEL SUR, S. A. DE C.V.</v>
      </c>
      <c r="P36" s="1" t="s">
        <v>2</v>
      </c>
      <c r="Q36" s="1" t="s">
        <v>2</v>
      </c>
      <c r="R36" s="26">
        <v>4477.01</v>
      </c>
      <c r="S36" s="24">
        <f t="shared" si="1"/>
        <v>582.01130000000001</v>
      </c>
      <c r="T36" s="1" t="s">
        <v>2</v>
      </c>
      <c r="U36" s="1" t="s">
        <v>2</v>
      </c>
      <c r="V36" s="25">
        <f t="shared" si="2"/>
        <v>5059.0213000000003</v>
      </c>
      <c r="W36" s="1" t="s">
        <v>1</v>
      </c>
      <c r="Y36" s="3">
        <f t="shared" si="3"/>
        <v>582.01</v>
      </c>
    </row>
    <row r="37" spans="1:25" hidden="1" x14ac:dyDescent="0.25">
      <c r="A37" s="1" t="s">
        <v>23</v>
      </c>
      <c r="C37" s="4" t="s">
        <v>26</v>
      </c>
      <c r="D37" s="4" t="s">
        <v>0</v>
      </c>
      <c r="E37" s="4" t="s">
        <v>30</v>
      </c>
      <c r="F37" s="4" t="s">
        <v>31</v>
      </c>
      <c r="G37" t="str">
        <f t="shared" si="0"/>
        <v>17/03/2021</v>
      </c>
      <c r="H37" s="4" t="s">
        <v>1</v>
      </c>
      <c r="I37" s="4" t="s">
        <v>0</v>
      </c>
      <c r="J37" s="1" t="s">
        <v>216</v>
      </c>
      <c r="K37" s="1" t="s">
        <v>215</v>
      </c>
      <c r="L37" s="1" t="s">
        <v>271</v>
      </c>
      <c r="M37" s="1" t="s">
        <v>271</v>
      </c>
      <c r="N37" s="1" t="s">
        <v>256</v>
      </c>
      <c r="O37" s="24" t="str">
        <f>+VLOOKUP(N37,'base de clientes'!A:B,2,0)</f>
        <v>ANULADO</v>
      </c>
      <c r="P37" s="1" t="s">
        <v>2</v>
      </c>
      <c r="Q37" s="1" t="s">
        <v>2</v>
      </c>
      <c r="R37" s="26">
        <v>0</v>
      </c>
      <c r="S37" s="24">
        <f t="shared" si="1"/>
        <v>0</v>
      </c>
      <c r="T37" s="1" t="s">
        <v>2</v>
      </c>
      <c r="U37" s="1" t="s">
        <v>2</v>
      </c>
      <c r="V37" s="25">
        <f t="shared" si="2"/>
        <v>0</v>
      </c>
      <c r="W37" s="1" t="s">
        <v>1</v>
      </c>
      <c r="Y37" s="3">
        <f t="shared" si="3"/>
        <v>0</v>
      </c>
    </row>
    <row r="38" spans="1:25" x14ac:dyDescent="0.25">
      <c r="A38" s="1" t="s">
        <v>23</v>
      </c>
      <c r="C38" s="4" t="s">
        <v>93</v>
      </c>
      <c r="D38" s="4" t="s">
        <v>0</v>
      </c>
      <c r="E38" s="4" t="s">
        <v>30</v>
      </c>
      <c r="F38" s="4" t="s">
        <v>31</v>
      </c>
      <c r="G38" t="str">
        <f t="shared" si="0"/>
        <v>18/03/2021</v>
      </c>
      <c r="H38" s="4" t="s">
        <v>1</v>
      </c>
      <c r="I38" s="4" t="s">
        <v>0</v>
      </c>
      <c r="J38" s="1" t="s">
        <v>216</v>
      </c>
      <c r="K38" s="1" t="s">
        <v>215</v>
      </c>
      <c r="L38" s="1" t="s">
        <v>270</v>
      </c>
      <c r="M38" s="1" t="s">
        <v>270</v>
      </c>
      <c r="N38" s="1" t="s">
        <v>269</v>
      </c>
      <c r="O38" s="24" t="str">
        <f>+VLOOKUP(N38,'base de clientes'!A:B,2,0)</f>
        <v>INVERSIONES STANLEY PACIFICO S.A DE C.V.</v>
      </c>
      <c r="P38" s="1" t="s">
        <v>2</v>
      </c>
      <c r="Q38" s="1" t="s">
        <v>2</v>
      </c>
      <c r="R38" s="26">
        <v>419.81</v>
      </c>
      <c r="S38" s="24">
        <f t="shared" si="1"/>
        <v>54.575300000000006</v>
      </c>
      <c r="T38" s="1" t="s">
        <v>2</v>
      </c>
      <c r="U38" s="1" t="s">
        <v>2</v>
      </c>
      <c r="V38" s="25">
        <f t="shared" si="2"/>
        <v>474.38530000000003</v>
      </c>
      <c r="W38" s="1" t="s">
        <v>1</v>
      </c>
      <c r="Y38" s="3">
        <f t="shared" si="3"/>
        <v>54.58</v>
      </c>
    </row>
    <row r="39" spans="1:25" x14ac:dyDescent="0.25">
      <c r="A39" s="1" t="s">
        <v>23</v>
      </c>
      <c r="C39" s="4" t="s">
        <v>36</v>
      </c>
      <c r="D39" s="4" t="s">
        <v>0</v>
      </c>
      <c r="E39" s="4" t="s">
        <v>30</v>
      </c>
      <c r="F39" s="4" t="s">
        <v>31</v>
      </c>
      <c r="G39" t="str">
        <f t="shared" si="0"/>
        <v>22/03/2021</v>
      </c>
      <c r="H39" s="4" t="s">
        <v>1</v>
      </c>
      <c r="I39" s="4" t="s">
        <v>0</v>
      </c>
      <c r="J39" s="1" t="s">
        <v>216</v>
      </c>
      <c r="K39" s="1" t="s">
        <v>215</v>
      </c>
      <c r="L39" s="1" t="s">
        <v>274</v>
      </c>
      <c r="M39" s="1" t="s">
        <v>274</v>
      </c>
      <c r="N39" s="1" t="s">
        <v>252</v>
      </c>
      <c r="O39" s="24" t="str">
        <f>+VLOOKUP(N39,'base de clientes'!A:B,2,0)</f>
        <v>BANCO AGRICOLA, S.A.</v>
      </c>
      <c r="P39" s="1" t="s">
        <v>2</v>
      </c>
      <c r="Q39" s="1" t="s">
        <v>2</v>
      </c>
      <c r="R39" s="26">
        <v>357.36</v>
      </c>
      <c r="S39" s="24">
        <f t="shared" si="1"/>
        <v>46.456800000000001</v>
      </c>
      <c r="T39" s="1" t="s">
        <v>2</v>
      </c>
      <c r="U39" s="1" t="s">
        <v>2</v>
      </c>
      <c r="V39" s="25">
        <f t="shared" si="2"/>
        <v>403.8168</v>
      </c>
      <c r="W39" s="1" t="s">
        <v>1</v>
      </c>
      <c r="Y39" s="3">
        <f t="shared" si="3"/>
        <v>46.46</v>
      </c>
    </row>
    <row r="40" spans="1:25" x14ac:dyDescent="0.25">
      <c r="A40" s="1" t="s">
        <v>23</v>
      </c>
      <c r="C40" s="4" t="s">
        <v>36</v>
      </c>
      <c r="D40" s="4" t="s">
        <v>0</v>
      </c>
      <c r="E40" s="4" t="s">
        <v>30</v>
      </c>
      <c r="F40" s="4" t="s">
        <v>31</v>
      </c>
      <c r="G40" t="str">
        <f t="shared" si="0"/>
        <v>22/03/2021</v>
      </c>
      <c r="H40" s="4" t="s">
        <v>1</v>
      </c>
      <c r="I40" s="4" t="s">
        <v>0</v>
      </c>
      <c r="J40" s="1" t="s">
        <v>216</v>
      </c>
      <c r="K40" s="1" t="s">
        <v>215</v>
      </c>
      <c r="L40" s="1" t="s">
        <v>273</v>
      </c>
      <c r="M40" s="1" t="s">
        <v>273</v>
      </c>
      <c r="N40" s="1" t="s">
        <v>252</v>
      </c>
      <c r="O40" s="24" t="str">
        <f>+VLOOKUP(N40,'base de clientes'!A:B,2,0)</f>
        <v>BANCO AGRICOLA, S.A.</v>
      </c>
      <c r="P40" s="1" t="s">
        <v>2</v>
      </c>
      <c r="Q40" s="1" t="s">
        <v>2</v>
      </c>
      <c r="R40" s="26">
        <v>152.65</v>
      </c>
      <c r="S40" s="24">
        <f t="shared" si="1"/>
        <v>19.8445</v>
      </c>
      <c r="T40" s="1" t="s">
        <v>2</v>
      </c>
      <c r="U40" s="1" t="s">
        <v>2</v>
      </c>
      <c r="V40" s="25">
        <f t="shared" si="2"/>
        <v>172.49450000000002</v>
      </c>
      <c r="W40" s="1" t="s">
        <v>1</v>
      </c>
      <c r="Y40" s="3">
        <f t="shared" si="3"/>
        <v>19.84</v>
      </c>
    </row>
    <row r="41" spans="1:25" x14ac:dyDescent="0.25">
      <c r="A41" s="1" t="s">
        <v>23</v>
      </c>
      <c r="C41" s="4" t="s">
        <v>36</v>
      </c>
      <c r="D41" s="4" t="s">
        <v>0</v>
      </c>
      <c r="E41" s="4" t="s">
        <v>30</v>
      </c>
      <c r="F41" s="4" t="s">
        <v>31</v>
      </c>
      <c r="G41" t="str">
        <f t="shared" si="0"/>
        <v>22/03/2021</v>
      </c>
      <c r="H41" s="4" t="s">
        <v>1</v>
      </c>
      <c r="I41" s="4" t="s">
        <v>0</v>
      </c>
      <c r="J41" s="1" t="s">
        <v>216</v>
      </c>
      <c r="K41" s="1" t="s">
        <v>215</v>
      </c>
      <c r="L41" s="1" t="s">
        <v>272</v>
      </c>
      <c r="M41" s="1" t="s">
        <v>272</v>
      </c>
      <c r="N41" s="1" t="s">
        <v>252</v>
      </c>
      <c r="O41" s="24" t="str">
        <f>+VLOOKUP(N41,'base de clientes'!A:B,2,0)</f>
        <v>BANCO AGRICOLA, S.A.</v>
      </c>
      <c r="P41" s="1" t="s">
        <v>2</v>
      </c>
      <c r="Q41" s="1" t="s">
        <v>2</v>
      </c>
      <c r="R41" s="26">
        <v>152.65</v>
      </c>
      <c r="S41" s="24">
        <f t="shared" si="1"/>
        <v>19.8445</v>
      </c>
      <c r="T41" s="1" t="s">
        <v>2</v>
      </c>
      <c r="U41" s="1" t="s">
        <v>2</v>
      </c>
      <c r="V41" s="25">
        <f t="shared" si="2"/>
        <v>172.49450000000002</v>
      </c>
      <c r="W41" s="1" t="s">
        <v>1</v>
      </c>
      <c r="Y41" s="3">
        <f t="shared" si="3"/>
        <v>19.84</v>
      </c>
    </row>
    <row r="42" spans="1:25" x14ac:dyDescent="0.25">
      <c r="A42" s="1" t="s">
        <v>23</v>
      </c>
      <c r="C42" s="4" t="s">
        <v>73</v>
      </c>
      <c r="D42" s="4" t="s">
        <v>0</v>
      </c>
      <c r="E42" s="4" t="s">
        <v>30</v>
      </c>
      <c r="F42" s="4" t="s">
        <v>31</v>
      </c>
      <c r="G42" t="str">
        <f t="shared" si="0"/>
        <v>24/03/2021</v>
      </c>
      <c r="H42" s="4" t="s">
        <v>1</v>
      </c>
      <c r="I42" s="4" t="s">
        <v>0</v>
      </c>
      <c r="J42" s="1" t="s">
        <v>216</v>
      </c>
      <c r="K42" s="1" t="s">
        <v>215</v>
      </c>
      <c r="L42" s="1" t="s">
        <v>275</v>
      </c>
      <c r="M42" s="1" t="s">
        <v>275</v>
      </c>
      <c r="N42" s="1" t="s">
        <v>217</v>
      </c>
      <c r="O42" s="24" t="str">
        <f>+VLOOKUP(N42,'base de clientes'!A:B,2,0)</f>
        <v>OPERADORA DEL SUR, S. A. DE C.V.</v>
      </c>
      <c r="P42" s="1" t="s">
        <v>2</v>
      </c>
      <c r="Q42" s="1" t="s">
        <v>2</v>
      </c>
      <c r="R42" s="26">
        <v>2147.04</v>
      </c>
      <c r="S42" s="24">
        <f t="shared" si="1"/>
        <v>279.11520000000002</v>
      </c>
      <c r="T42" s="1" t="s">
        <v>2</v>
      </c>
      <c r="U42" s="1" t="s">
        <v>2</v>
      </c>
      <c r="V42" s="25">
        <f t="shared" si="2"/>
        <v>2426.1552000000001</v>
      </c>
      <c r="W42" s="1" t="s">
        <v>1</v>
      </c>
      <c r="Y42" s="3">
        <f t="shared" si="3"/>
        <v>279.12</v>
      </c>
    </row>
    <row r="43" spans="1:25" x14ac:dyDescent="0.25">
      <c r="A43" s="1" t="s">
        <v>208</v>
      </c>
      <c r="B43" s="4" t="s">
        <v>207</v>
      </c>
      <c r="C43" s="5" t="str">
        <f t="shared" ref="C43:C79" si="4">+LEFT(B43,2)</f>
        <v>01</v>
      </c>
      <c r="D43" s="5" t="str">
        <f t="shared" ref="D43" si="5">+RIGHT(B43,2)</f>
        <v>04</v>
      </c>
      <c r="E43" s="4" t="s">
        <v>30</v>
      </c>
      <c r="F43" s="4" t="s">
        <v>31</v>
      </c>
      <c r="G43" s="22" t="str">
        <f t="shared" ref="G43" si="6">+C43&amp;F43&amp;D43&amp;F43&amp;E43</f>
        <v>01/04/2021</v>
      </c>
      <c r="H43" s="4" t="s">
        <v>1</v>
      </c>
      <c r="I43" s="4" t="s">
        <v>0</v>
      </c>
      <c r="J43" s="1" t="s">
        <v>216</v>
      </c>
      <c r="K43" s="1" t="s">
        <v>215</v>
      </c>
      <c r="L43" s="1" t="s">
        <v>232</v>
      </c>
      <c r="M43" s="1" t="s">
        <v>232</v>
      </c>
      <c r="N43" s="1" t="s">
        <v>235</v>
      </c>
      <c r="O43" s="24" t="str">
        <f>+VLOOKUP(N43,'base de clientes'!A:B,2,0)</f>
        <v>UNILEVER EL SALVADOR SCC S.A DE C.V.</v>
      </c>
      <c r="P43" s="1" t="s">
        <v>2</v>
      </c>
      <c r="Q43" s="1" t="s">
        <v>2</v>
      </c>
      <c r="R43" s="26">
        <v>1175.42</v>
      </c>
      <c r="S43" s="24">
        <v>152.80000000000001</v>
      </c>
      <c r="T43" s="1" t="s">
        <v>2</v>
      </c>
      <c r="U43" s="1" t="s">
        <v>2</v>
      </c>
      <c r="V43" s="25">
        <f t="shared" ref="V43:V79" si="7">+R43+S43</f>
        <v>1328.22</v>
      </c>
      <c r="W43" s="1" t="s">
        <v>1</v>
      </c>
      <c r="Y43" s="3">
        <f t="shared" ref="Y43:Y79" si="8">+ROUND(S43,2)</f>
        <v>152.80000000000001</v>
      </c>
    </row>
    <row r="44" spans="1:25" x14ac:dyDescent="0.25">
      <c r="A44" s="1" t="s">
        <v>208</v>
      </c>
      <c r="B44" s="1" t="s">
        <v>207</v>
      </c>
      <c r="C44" s="5" t="str">
        <f t="shared" si="4"/>
        <v>01</v>
      </c>
      <c r="D44" s="5" t="str">
        <f t="shared" ref="D44:D73" si="9">+RIGHT(B44,2)</f>
        <v>04</v>
      </c>
      <c r="E44" s="4" t="s">
        <v>30</v>
      </c>
      <c r="F44" s="4" t="s">
        <v>31</v>
      </c>
      <c r="G44" s="22" t="str">
        <f t="shared" ref="G44:G73" si="10">+C44&amp;F44&amp;D44&amp;F44&amp;E44</f>
        <v>01/04/2021</v>
      </c>
      <c r="H44" s="4" t="s">
        <v>1</v>
      </c>
      <c r="I44" s="4" t="s">
        <v>0</v>
      </c>
      <c r="J44" s="1" t="s">
        <v>216</v>
      </c>
      <c r="K44" s="1" t="s">
        <v>215</v>
      </c>
      <c r="L44" s="1" t="s">
        <v>641</v>
      </c>
      <c r="M44" s="1" t="s">
        <v>641</v>
      </c>
      <c r="N44" s="1" t="s">
        <v>228</v>
      </c>
      <c r="O44" s="24" t="str">
        <f>+VLOOKUP(N44,'base de clientes'!A:B,2,0)</f>
        <v>POLYBAG S.A DE C.V.</v>
      </c>
      <c r="P44" s="1" t="s">
        <v>2</v>
      </c>
      <c r="Q44" s="1" t="s">
        <v>2</v>
      </c>
      <c r="R44" s="26">
        <v>390</v>
      </c>
      <c r="S44" s="24">
        <v>50.7</v>
      </c>
      <c r="T44" s="1" t="s">
        <v>2</v>
      </c>
      <c r="U44" s="1" t="s">
        <v>2</v>
      </c>
      <c r="V44" s="25">
        <f t="shared" si="7"/>
        <v>440.7</v>
      </c>
      <c r="W44" s="1" t="s">
        <v>1</v>
      </c>
      <c r="Y44" s="3">
        <f t="shared" si="8"/>
        <v>50.7</v>
      </c>
    </row>
    <row r="45" spans="1:25" x14ac:dyDescent="0.25">
      <c r="A45" s="1" t="s">
        <v>208</v>
      </c>
      <c r="B45" s="1" t="s">
        <v>207</v>
      </c>
      <c r="C45" s="5" t="str">
        <f t="shared" si="4"/>
        <v>01</v>
      </c>
      <c r="D45" s="5" t="str">
        <f t="shared" si="9"/>
        <v>04</v>
      </c>
      <c r="E45" s="4" t="s">
        <v>30</v>
      </c>
      <c r="F45" s="4" t="s">
        <v>31</v>
      </c>
      <c r="G45" s="22" t="str">
        <f t="shared" si="10"/>
        <v>01/04/2021</v>
      </c>
      <c r="H45" s="4" t="s">
        <v>1</v>
      </c>
      <c r="I45" s="4" t="s">
        <v>0</v>
      </c>
      <c r="J45" s="1" t="s">
        <v>216</v>
      </c>
      <c r="K45" s="1" t="s">
        <v>215</v>
      </c>
      <c r="L45" s="1" t="s">
        <v>642</v>
      </c>
      <c r="M45" s="1" t="s">
        <v>642</v>
      </c>
      <c r="N45" s="1" t="s">
        <v>224</v>
      </c>
      <c r="O45" s="24" t="str">
        <f>+VLOOKUP(N45,'base de clientes'!A:B,2,0)</f>
        <v>LA CONSTANCIA LTDA DE C.V.</v>
      </c>
      <c r="P45" s="1" t="s">
        <v>2</v>
      </c>
      <c r="Q45" s="1" t="s">
        <v>2</v>
      </c>
      <c r="R45" s="26">
        <v>619.01</v>
      </c>
      <c r="S45" s="24">
        <v>80.47</v>
      </c>
      <c r="T45" s="1" t="s">
        <v>2</v>
      </c>
      <c r="U45" s="1" t="s">
        <v>2</v>
      </c>
      <c r="V45" s="25">
        <f t="shared" si="7"/>
        <v>699.48</v>
      </c>
      <c r="W45" s="1" t="s">
        <v>1</v>
      </c>
      <c r="Y45" s="3">
        <f t="shared" si="8"/>
        <v>80.47</v>
      </c>
    </row>
    <row r="46" spans="1:25" x14ac:dyDescent="0.25">
      <c r="A46" s="1" t="s">
        <v>208</v>
      </c>
      <c r="B46" s="1" t="s">
        <v>207</v>
      </c>
      <c r="C46" s="5" t="str">
        <f t="shared" si="4"/>
        <v>01</v>
      </c>
      <c r="D46" s="5" t="str">
        <f t="shared" si="9"/>
        <v>04</v>
      </c>
      <c r="E46" s="4" t="s">
        <v>30</v>
      </c>
      <c r="F46" s="4" t="s">
        <v>31</v>
      </c>
      <c r="G46" s="22" t="str">
        <f t="shared" si="10"/>
        <v>01/04/2021</v>
      </c>
      <c r="H46" s="4" t="s">
        <v>1</v>
      </c>
      <c r="I46" s="4" t="s">
        <v>0</v>
      </c>
      <c r="J46" s="1" t="s">
        <v>216</v>
      </c>
      <c r="K46" s="1" t="s">
        <v>215</v>
      </c>
      <c r="L46" s="1" t="s">
        <v>643</v>
      </c>
      <c r="M46" s="1" t="s">
        <v>643</v>
      </c>
      <c r="N46" s="1" t="s">
        <v>304</v>
      </c>
      <c r="O46" s="24" t="str">
        <f>+VLOOKUP(N46,'base de clientes'!A:B,2,0)</f>
        <v>INDUSTRIAS MIKE MIKE S.A DE C.V.</v>
      </c>
      <c r="P46" s="1" t="s">
        <v>2</v>
      </c>
      <c r="Q46" s="1" t="s">
        <v>2</v>
      </c>
      <c r="R46" s="26">
        <v>176.02</v>
      </c>
      <c r="S46" s="24">
        <v>22.88</v>
      </c>
      <c r="T46" s="1" t="s">
        <v>2</v>
      </c>
      <c r="U46" s="1" t="s">
        <v>2</v>
      </c>
      <c r="V46" s="25">
        <f t="shared" si="7"/>
        <v>198.9</v>
      </c>
      <c r="W46" s="1" t="s">
        <v>1</v>
      </c>
      <c r="Y46" s="3">
        <f t="shared" si="8"/>
        <v>22.88</v>
      </c>
    </row>
    <row r="47" spans="1:25" x14ac:dyDescent="0.25">
      <c r="A47" s="1" t="s">
        <v>208</v>
      </c>
      <c r="B47" s="1" t="s">
        <v>207</v>
      </c>
      <c r="C47" s="5" t="str">
        <f t="shared" si="4"/>
        <v>01</v>
      </c>
      <c r="D47" s="5" t="str">
        <f t="shared" si="9"/>
        <v>04</v>
      </c>
      <c r="E47" s="4" t="s">
        <v>30</v>
      </c>
      <c r="F47" s="4" t="s">
        <v>31</v>
      </c>
      <c r="G47" s="22" t="str">
        <f t="shared" si="10"/>
        <v>01/04/2021</v>
      </c>
      <c r="H47" s="4" t="s">
        <v>1</v>
      </c>
      <c r="I47" s="4" t="s">
        <v>0</v>
      </c>
      <c r="J47" s="1" t="s">
        <v>216</v>
      </c>
      <c r="K47" s="1" t="s">
        <v>215</v>
      </c>
      <c r="L47" s="1" t="s">
        <v>644</v>
      </c>
      <c r="M47" s="1" t="s">
        <v>644</v>
      </c>
      <c r="N47" s="1" t="s">
        <v>230</v>
      </c>
      <c r="O47" s="24" t="str">
        <f>+VLOOKUP(N47,'base de clientes'!A:B,2,0)</f>
        <v>NEGOCIOS CAMYRAM S.A DE C.V</v>
      </c>
      <c r="P47" s="1" t="s">
        <v>2</v>
      </c>
      <c r="Q47" s="1" t="s">
        <v>2</v>
      </c>
      <c r="R47" s="26">
        <v>378.75</v>
      </c>
      <c r="S47" s="24">
        <v>49.24</v>
      </c>
      <c r="T47" s="1" t="s">
        <v>2</v>
      </c>
      <c r="U47" s="1" t="s">
        <v>2</v>
      </c>
      <c r="V47" s="25">
        <f t="shared" si="7"/>
        <v>427.99</v>
      </c>
      <c r="W47" s="1" t="s">
        <v>1</v>
      </c>
      <c r="Y47" s="3">
        <f t="shared" si="8"/>
        <v>49.24</v>
      </c>
    </row>
    <row r="48" spans="1:25" x14ac:dyDescent="0.25">
      <c r="A48" s="1" t="s">
        <v>208</v>
      </c>
      <c r="B48" s="1" t="s">
        <v>207</v>
      </c>
      <c r="C48" s="5" t="str">
        <f t="shared" si="4"/>
        <v>01</v>
      </c>
      <c r="D48" s="5" t="str">
        <f t="shared" si="9"/>
        <v>04</v>
      </c>
      <c r="E48" s="4" t="s">
        <v>30</v>
      </c>
      <c r="F48" s="4" t="s">
        <v>31</v>
      </c>
      <c r="G48" s="22" t="str">
        <f t="shared" si="10"/>
        <v>01/04/2021</v>
      </c>
      <c r="H48" s="4" t="s">
        <v>1</v>
      </c>
      <c r="I48" s="4" t="s">
        <v>0</v>
      </c>
      <c r="J48" s="1" t="s">
        <v>216</v>
      </c>
      <c r="K48" s="1" t="s">
        <v>215</v>
      </c>
      <c r="L48" s="1" t="s">
        <v>645</v>
      </c>
      <c r="M48" s="1" t="s">
        <v>645</v>
      </c>
      <c r="N48" s="1" t="s">
        <v>213</v>
      </c>
      <c r="O48" s="24" t="str">
        <f>+VLOOKUP(N48,'base de clientes'!A:B,2,0)</f>
        <v>PRODUCTOS CARNICOS S.A DE C.V.</v>
      </c>
      <c r="P48" s="1" t="s">
        <v>2</v>
      </c>
      <c r="Q48" s="1" t="s">
        <v>2</v>
      </c>
      <c r="R48" s="26">
        <v>2251.6</v>
      </c>
      <c r="S48" s="24">
        <v>292.70999999999998</v>
      </c>
      <c r="T48" s="1" t="s">
        <v>2</v>
      </c>
      <c r="U48" s="1" t="s">
        <v>2</v>
      </c>
      <c r="V48" s="25">
        <f t="shared" si="7"/>
        <v>2544.31</v>
      </c>
      <c r="W48" s="1" t="s">
        <v>1</v>
      </c>
      <c r="Y48" s="3">
        <f t="shared" si="8"/>
        <v>292.70999999999998</v>
      </c>
    </row>
    <row r="49" spans="1:25" x14ac:dyDescent="0.25">
      <c r="A49" s="1" t="s">
        <v>208</v>
      </c>
      <c r="B49" s="1" t="s">
        <v>485</v>
      </c>
      <c r="C49" s="5" t="str">
        <f t="shared" si="4"/>
        <v>05</v>
      </c>
      <c r="D49" s="5" t="str">
        <f t="shared" si="9"/>
        <v>04</v>
      </c>
      <c r="E49" s="4" t="s">
        <v>30</v>
      </c>
      <c r="F49" s="4" t="s">
        <v>31</v>
      </c>
      <c r="G49" s="22" t="str">
        <f t="shared" si="10"/>
        <v>05/04/2021</v>
      </c>
      <c r="H49" s="4" t="s">
        <v>1</v>
      </c>
      <c r="I49" s="4" t="s">
        <v>0</v>
      </c>
      <c r="J49" s="1" t="s">
        <v>216</v>
      </c>
      <c r="K49" s="1" t="s">
        <v>215</v>
      </c>
      <c r="L49" s="1">
        <v>242</v>
      </c>
      <c r="M49" s="1">
        <v>242</v>
      </c>
      <c r="N49" s="1" t="s">
        <v>233</v>
      </c>
      <c r="O49" s="24" t="str">
        <f>+VLOOKUP(N49,'base de clientes'!A:B,2,0)</f>
        <v>SUPER REPUESTOS EL SALVADOR S.A DE C.V.</v>
      </c>
      <c r="P49" s="1" t="s">
        <v>2</v>
      </c>
      <c r="Q49" s="1" t="s">
        <v>2</v>
      </c>
      <c r="R49" s="26">
        <v>150</v>
      </c>
      <c r="S49" s="24">
        <v>19.5</v>
      </c>
      <c r="T49" s="1" t="s">
        <v>2</v>
      </c>
      <c r="U49" s="1" t="s">
        <v>2</v>
      </c>
      <c r="V49" s="25">
        <f t="shared" si="7"/>
        <v>169.5</v>
      </c>
      <c r="W49" s="1" t="s">
        <v>1</v>
      </c>
      <c r="Y49" s="3">
        <f t="shared" si="8"/>
        <v>19.5</v>
      </c>
    </row>
    <row r="50" spans="1:25" x14ac:dyDescent="0.25">
      <c r="A50" s="1" t="s">
        <v>208</v>
      </c>
      <c r="B50" s="1" t="s">
        <v>485</v>
      </c>
      <c r="C50" s="5" t="str">
        <f t="shared" si="4"/>
        <v>05</v>
      </c>
      <c r="D50" s="5" t="str">
        <f t="shared" si="9"/>
        <v>04</v>
      </c>
      <c r="E50" s="4" t="s">
        <v>30</v>
      </c>
      <c r="F50" s="4" t="s">
        <v>31</v>
      </c>
      <c r="G50" s="22" t="str">
        <f t="shared" si="10"/>
        <v>05/04/2021</v>
      </c>
      <c r="H50" s="4" t="s">
        <v>1</v>
      </c>
      <c r="I50" s="4" t="s">
        <v>0</v>
      </c>
      <c r="J50" s="1" t="s">
        <v>216</v>
      </c>
      <c r="K50" s="1" t="s">
        <v>215</v>
      </c>
      <c r="L50" s="1">
        <v>243</v>
      </c>
      <c r="M50" s="1">
        <v>243</v>
      </c>
      <c r="N50" s="1" t="s">
        <v>249</v>
      </c>
      <c r="O50" s="24" t="str">
        <f>+VLOOKUP(N50,'base de clientes'!A:B,2,0)</f>
        <v>PROGURSA S.A DE C.V.</v>
      </c>
      <c r="P50" s="1" t="s">
        <v>2</v>
      </c>
      <c r="Q50" s="1" t="s">
        <v>2</v>
      </c>
      <c r="R50" s="26">
        <v>150</v>
      </c>
      <c r="S50" s="24">
        <v>19.5</v>
      </c>
      <c r="T50" s="1" t="s">
        <v>2</v>
      </c>
      <c r="U50" s="1" t="s">
        <v>2</v>
      </c>
      <c r="V50" s="25">
        <f t="shared" si="7"/>
        <v>169.5</v>
      </c>
      <c r="W50" s="1" t="s">
        <v>1</v>
      </c>
      <c r="Y50" s="3">
        <f t="shared" si="8"/>
        <v>19.5</v>
      </c>
    </row>
    <row r="51" spans="1:25" x14ac:dyDescent="0.25">
      <c r="A51" s="1" t="s">
        <v>208</v>
      </c>
      <c r="B51" s="1" t="s">
        <v>485</v>
      </c>
      <c r="C51" s="5" t="str">
        <f t="shared" si="4"/>
        <v>05</v>
      </c>
      <c r="D51" s="5" t="str">
        <f t="shared" si="9"/>
        <v>04</v>
      </c>
      <c r="E51" s="4" t="s">
        <v>30</v>
      </c>
      <c r="F51" s="4" t="s">
        <v>31</v>
      </c>
      <c r="G51" s="22" t="str">
        <f t="shared" si="10"/>
        <v>05/04/2021</v>
      </c>
      <c r="H51" s="4" t="s">
        <v>1</v>
      </c>
      <c r="I51" s="4" t="s">
        <v>0</v>
      </c>
      <c r="J51" s="1" t="s">
        <v>216</v>
      </c>
      <c r="K51" s="1" t="s">
        <v>215</v>
      </c>
      <c r="L51" s="1">
        <v>244</v>
      </c>
      <c r="M51" s="1">
        <v>244</v>
      </c>
      <c r="N51" s="1" t="s">
        <v>219</v>
      </c>
      <c r="O51" s="24" t="str">
        <f>+VLOOKUP(N51,'base de clientes'!A:B,2,0)</f>
        <v>NEMTEX S.A DE C.V.</v>
      </c>
      <c r="P51" s="1" t="s">
        <v>2</v>
      </c>
      <c r="Q51" s="1" t="s">
        <v>2</v>
      </c>
      <c r="R51" s="26">
        <v>335.92</v>
      </c>
      <c r="S51" s="24">
        <v>43.67</v>
      </c>
      <c r="T51" s="1" t="s">
        <v>2</v>
      </c>
      <c r="U51" s="1" t="s">
        <v>2</v>
      </c>
      <c r="V51" s="25">
        <f t="shared" si="7"/>
        <v>379.59000000000003</v>
      </c>
      <c r="W51" s="1" t="s">
        <v>1</v>
      </c>
      <c r="Y51" s="3">
        <f t="shared" si="8"/>
        <v>43.67</v>
      </c>
    </row>
    <row r="52" spans="1:25" x14ac:dyDescent="0.25">
      <c r="A52" s="1" t="s">
        <v>208</v>
      </c>
      <c r="B52" s="1" t="s">
        <v>485</v>
      </c>
      <c r="C52" s="5" t="str">
        <f t="shared" si="4"/>
        <v>05</v>
      </c>
      <c r="D52" s="5" t="str">
        <f t="shared" si="9"/>
        <v>04</v>
      </c>
      <c r="E52" s="4" t="s">
        <v>30</v>
      </c>
      <c r="F52" s="4" t="s">
        <v>31</v>
      </c>
      <c r="G52" s="22" t="str">
        <f t="shared" si="10"/>
        <v>05/04/2021</v>
      </c>
      <c r="H52" s="4" t="s">
        <v>1</v>
      </c>
      <c r="I52" s="4" t="s">
        <v>0</v>
      </c>
      <c r="J52" s="1" t="s">
        <v>216</v>
      </c>
      <c r="K52" s="1" t="s">
        <v>215</v>
      </c>
      <c r="L52" s="1">
        <v>245</v>
      </c>
      <c r="M52" s="1">
        <v>245</v>
      </c>
      <c r="N52" s="1" t="s">
        <v>221</v>
      </c>
      <c r="O52" s="24" t="str">
        <f>+VLOOKUP(N52,'base de clientes'!A:B,2,0)</f>
        <v>DIDEA S.A DE C.V.</v>
      </c>
      <c r="P52" s="1" t="s">
        <v>2</v>
      </c>
      <c r="Q52" s="1" t="s">
        <v>2</v>
      </c>
      <c r="R52" s="26">
        <v>141.1</v>
      </c>
      <c r="S52" s="24">
        <v>18.34</v>
      </c>
      <c r="T52" s="1" t="s">
        <v>2</v>
      </c>
      <c r="U52" s="1" t="s">
        <v>2</v>
      </c>
      <c r="V52" s="25">
        <f t="shared" si="7"/>
        <v>159.44</v>
      </c>
      <c r="W52" s="1" t="s">
        <v>1</v>
      </c>
      <c r="Y52" s="3">
        <f t="shared" si="8"/>
        <v>18.34</v>
      </c>
    </row>
    <row r="53" spans="1:25" x14ac:dyDescent="0.25">
      <c r="A53" s="1" t="s">
        <v>208</v>
      </c>
      <c r="B53" s="1" t="s">
        <v>485</v>
      </c>
      <c r="C53" s="5" t="str">
        <f t="shared" si="4"/>
        <v>05</v>
      </c>
      <c r="D53" s="5" t="str">
        <f t="shared" si="9"/>
        <v>04</v>
      </c>
      <c r="E53" s="4" t="s">
        <v>30</v>
      </c>
      <c r="F53" s="4" t="s">
        <v>31</v>
      </c>
      <c r="G53" s="22" t="str">
        <f t="shared" si="10"/>
        <v>05/04/2021</v>
      </c>
      <c r="H53" s="4" t="s">
        <v>1</v>
      </c>
      <c r="I53" s="4" t="s">
        <v>0</v>
      </c>
      <c r="J53" s="1" t="s">
        <v>216</v>
      </c>
      <c r="K53" s="1" t="s">
        <v>215</v>
      </c>
      <c r="L53" s="1">
        <v>246</v>
      </c>
      <c r="M53" s="1">
        <v>246</v>
      </c>
      <c r="N53" s="1" t="s">
        <v>237</v>
      </c>
      <c r="O53" s="24" t="str">
        <f>+VLOOKUP(N53,'base de clientes'!A:B,2,0)</f>
        <v>TALLER DIDEA, S.A. DE C.V.</v>
      </c>
      <c r="P53" s="1" t="s">
        <v>2</v>
      </c>
      <c r="Q53" s="1" t="s">
        <v>2</v>
      </c>
      <c r="R53" s="26">
        <v>377.6</v>
      </c>
      <c r="S53" s="24">
        <v>49.09</v>
      </c>
      <c r="T53" s="1" t="s">
        <v>2</v>
      </c>
      <c r="U53" s="1" t="s">
        <v>2</v>
      </c>
      <c r="V53" s="25">
        <f t="shared" si="7"/>
        <v>426.69000000000005</v>
      </c>
      <c r="W53" s="1" t="s">
        <v>1</v>
      </c>
      <c r="Y53" s="3">
        <f t="shared" si="8"/>
        <v>49.09</v>
      </c>
    </row>
    <row r="54" spans="1:25" x14ac:dyDescent="0.25">
      <c r="A54" s="1" t="s">
        <v>208</v>
      </c>
      <c r="B54" s="1" t="s">
        <v>485</v>
      </c>
      <c r="C54" s="5" t="str">
        <f t="shared" si="4"/>
        <v>05</v>
      </c>
      <c r="D54" s="5" t="str">
        <f t="shared" si="9"/>
        <v>04</v>
      </c>
      <c r="E54" s="4" t="s">
        <v>30</v>
      </c>
      <c r="F54" s="4" t="s">
        <v>31</v>
      </c>
      <c r="G54" s="22" t="str">
        <f t="shared" si="10"/>
        <v>05/04/2021</v>
      </c>
      <c r="H54" s="4" t="s">
        <v>1</v>
      </c>
      <c r="I54" s="4" t="s">
        <v>0</v>
      </c>
      <c r="J54" s="1" t="s">
        <v>216</v>
      </c>
      <c r="K54" s="1" t="s">
        <v>215</v>
      </c>
      <c r="L54" s="1">
        <v>247</v>
      </c>
      <c r="M54" s="1">
        <v>247</v>
      </c>
      <c r="N54" s="1" t="s">
        <v>239</v>
      </c>
      <c r="O54" s="24" t="str">
        <f>+VLOOKUP(N54,'base de clientes'!A:B,2,0)</f>
        <v>PINTURA Y ENDEREZADO S.A DE C.V.</v>
      </c>
      <c r="P54" s="1" t="s">
        <v>2</v>
      </c>
      <c r="Q54" s="1" t="s">
        <v>2</v>
      </c>
      <c r="R54" s="26">
        <v>148.04</v>
      </c>
      <c r="S54" s="24">
        <v>19.25</v>
      </c>
      <c r="T54" s="1" t="s">
        <v>2</v>
      </c>
      <c r="U54" s="1" t="s">
        <v>2</v>
      </c>
      <c r="V54" s="25">
        <f t="shared" si="7"/>
        <v>167.29</v>
      </c>
      <c r="W54" s="1" t="s">
        <v>1</v>
      </c>
      <c r="Y54" s="3">
        <f t="shared" si="8"/>
        <v>19.25</v>
      </c>
    </row>
    <row r="55" spans="1:25" x14ac:dyDescent="0.25">
      <c r="A55" s="1" t="s">
        <v>208</v>
      </c>
      <c r="B55" s="1" t="s">
        <v>485</v>
      </c>
      <c r="C55" s="5" t="str">
        <f t="shared" si="4"/>
        <v>05</v>
      </c>
      <c r="D55" s="5" t="str">
        <f t="shared" si="9"/>
        <v>04</v>
      </c>
      <c r="E55" s="4" t="s">
        <v>30</v>
      </c>
      <c r="F55" s="4" t="s">
        <v>31</v>
      </c>
      <c r="G55" s="22" t="str">
        <f t="shared" si="10"/>
        <v>05/04/2021</v>
      </c>
      <c r="H55" s="4" t="s">
        <v>1</v>
      </c>
      <c r="I55" s="4" t="s">
        <v>0</v>
      </c>
      <c r="J55" s="1" t="s">
        <v>216</v>
      </c>
      <c r="K55" s="1" t="s">
        <v>215</v>
      </c>
      <c r="L55" s="1">
        <v>248</v>
      </c>
      <c r="M55" s="1">
        <v>248</v>
      </c>
      <c r="N55" s="1" t="s">
        <v>252</v>
      </c>
      <c r="O55" s="24" t="str">
        <f>+VLOOKUP(N55,'base de clientes'!A:B,2,0)</f>
        <v>BANCO AGRICOLA, S.A.</v>
      </c>
      <c r="P55" s="1" t="s">
        <v>2</v>
      </c>
      <c r="Q55" s="1" t="s">
        <v>2</v>
      </c>
      <c r="R55" s="26">
        <v>152.65</v>
      </c>
      <c r="S55" s="24">
        <v>19.84</v>
      </c>
      <c r="T55" s="1" t="s">
        <v>2</v>
      </c>
      <c r="U55" s="1" t="s">
        <v>2</v>
      </c>
      <c r="V55" s="25">
        <f t="shared" si="7"/>
        <v>172.49</v>
      </c>
      <c r="W55" s="1" t="s">
        <v>1</v>
      </c>
      <c r="Y55" s="3">
        <f t="shared" si="8"/>
        <v>19.84</v>
      </c>
    </row>
    <row r="56" spans="1:25" x14ac:dyDescent="0.25">
      <c r="A56" s="1" t="s">
        <v>208</v>
      </c>
      <c r="B56" s="1" t="s">
        <v>485</v>
      </c>
      <c r="C56" s="5" t="str">
        <f t="shared" si="4"/>
        <v>05</v>
      </c>
      <c r="D56" s="5" t="str">
        <f t="shared" si="9"/>
        <v>04</v>
      </c>
      <c r="E56" s="4" t="s">
        <v>30</v>
      </c>
      <c r="F56" s="4" t="s">
        <v>31</v>
      </c>
      <c r="G56" s="22" t="str">
        <f t="shared" si="10"/>
        <v>05/04/2021</v>
      </c>
      <c r="H56" s="4" t="s">
        <v>1</v>
      </c>
      <c r="I56" s="4" t="s">
        <v>0</v>
      </c>
      <c r="J56" s="1" t="s">
        <v>216</v>
      </c>
      <c r="K56" s="1" t="s">
        <v>215</v>
      </c>
      <c r="L56" s="1">
        <v>249</v>
      </c>
      <c r="M56" s="1">
        <v>249</v>
      </c>
      <c r="N56" s="1" t="s">
        <v>252</v>
      </c>
      <c r="O56" s="24" t="str">
        <f>+VLOOKUP(N56,'base de clientes'!A:B,2,0)</f>
        <v>BANCO AGRICOLA, S.A.</v>
      </c>
      <c r="P56" s="1" t="s">
        <v>2</v>
      </c>
      <c r="Q56" s="1" t="s">
        <v>2</v>
      </c>
      <c r="R56" s="26">
        <v>152.65</v>
      </c>
      <c r="S56" s="24">
        <v>19.84</v>
      </c>
      <c r="T56" s="1" t="s">
        <v>2</v>
      </c>
      <c r="U56" s="1" t="s">
        <v>2</v>
      </c>
      <c r="V56" s="25">
        <f t="shared" si="7"/>
        <v>172.49</v>
      </c>
      <c r="W56" s="1" t="s">
        <v>1</v>
      </c>
      <c r="Y56" s="3">
        <f t="shared" si="8"/>
        <v>19.84</v>
      </c>
    </row>
    <row r="57" spans="1:25" x14ac:dyDescent="0.25">
      <c r="A57" s="1" t="s">
        <v>208</v>
      </c>
      <c r="B57" s="1" t="s">
        <v>485</v>
      </c>
      <c r="C57" s="5" t="str">
        <f t="shared" si="4"/>
        <v>05</v>
      </c>
      <c r="D57" s="5" t="str">
        <f t="shared" si="9"/>
        <v>04</v>
      </c>
      <c r="E57" s="4" t="s">
        <v>30</v>
      </c>
      <c r="F57" s="4" t="s">
        <v>31</v>
      </c>
      <c r="G57" s="22" t="str">
        <f t="shared" si="10"/>
        <v>05/04/2021</v>
      </c>
      <c r="H57" s="4" t="s">
        <v>1</v>
      </c>
      <c r="I57" s="4" t="s">
        <v>0</v>
      </c>
      <c r="J57" s="1" t="s">
        <v>216</v>
      </c>
      <c r="K57" s="1" t="s">
        <v>215</v>
      </c>
      <c r="L57" s="1">
        <v>250</v>
      </c>
      <c r="M57" s="1">
        <v>250</v>
      </c>
      <c r="N57" s="1" t="s">
        <v>252</v>
      </c>
      <c r="O57" s="24" t="str">
        <f>+VLOOKUP(N57,'base de clientes'!A:B,2,0)</f>
        <v>BANCO AGRICOLA, S.A.</v>
      </c>
      <c r="P57" s="1" t="s">
        <v>2</v>
      </c>
      <c r="Q57" s="1" t="s">
        <v>2</v>
      </c>
      <c r="R57" s="26">
        <v>357.36</v>
      </c>
      <c r="S57" s="24">
        <v>46.46</v>
      </c>
      <c r="T57" s="1" t="s">
        <v>2</v>
      </c>
      <c r="U57" s="1" t="s">
        <v>2</v>
      </c>
      <c r="V57" s="25">
        <f t="shared" si="7"/>
        <v>403.82</v>
      </c>
      <c r="W57" s="1" t="s">
        <v>1</v>
      </c>
      <c r="Y57" s="3">
        <f t="shared" si="8"/>
        <v>46.46</v>
      </c>
    </row>
    <row r="58" spans="1:25" x14ac:dyDescent="0.25">
      <c r="A58" s="1" t="s">
        <v>208</v>
      </c>
      <c r="B58" s="1" t="s">
        <v>485</v>
      </c>
      <c r="C58" s="5" t="str">
        <f t="shared" si="4"/>
        <v>05</v>
      </c>
      <c r="D58" s="5" t="str">
        <f t="shared" si="9"/>
        <v>04</v>
      </c>
      <c r="E58" s="4" t="s">
        <v>30</v>
      </c>
      <c r="F58" s="4" t="s">
        <v>31</v>
      </c>
      <c r="G58" s="22" t="str">
        <f t="shared" si="10"/>
        <v>05/04/2021</v>
      </c>
      <c r="H58" s="4" t="s">
        <v>1</v>
      </c>
      <c r="I58" s="4" t="s">
        <v>0</v>
      </c>
      <c r="J58" s="1" t="s">
        <v>216</v>
      </c>
      <c r="K58" s="1" t="s">
        <v>215</v>
      </c>
      <c r="L58" s="1">
        <v>251</v>
      </c>
      <c r="M58" s="1">
        <v>251</v>
      </c>
      <c r="N58" s="1" t="s">
        <v>247</v>
      </c>
      <c r="O58" s="24" t="str">
        <f>+VLOOKUP(N58,'base de clientes'!A:B,2,0)</f>
        <v>HOTELES S.A DE C.V.</v>
      </c>
      <c r="P58" s="1" t="s">
        <v>2</v>
      </c>
      <c r="Q58" s="1" t="s">
        <v>2</v>
      </c>
      <c r="R58" s="26">
        <v>750</v>
      </c>
      <c r="S58" s="24">
        <v>97.5</v>
      </c>
      <c r="T58" s="1" t="s">
        <v>2</v>
      </c>
      <c r="U58" s="1" t="s">
        <v>2</v>
      </c>
      <c r="V58" s="25">
        <f t="shared" si="7"/>
        <v>847.5</v>
      </c>
      <c r="W58" s="1" t="s">
        <v>1</v>
      </c>
      <c r="Y58" s="3">
        <f t="shared" si="8"/>
        <v>97.5</v>
      </c>
    </row>
    <row r="59" spans="1:25" x14ac:dyDescent="0.25">
      <c r="A59" s="1" t="s">
        <v>208</v>
      </c>
      <c r="B59" s="1" t="s">
        <v>485</v>
      </c>
      <c r="C59" s="5" t="str">
        <f t="shared" si="4"/>
        <v>05</v>
      </c>
      <c r="D59" s="5" t="str">
        <f t="shared" si="9"/>
        <v>04</v>
      </c>
      <c r="E59" s="4" t="s">
        <v>30</v>
      </c>
      <c r="F59" s="4" t="s">
        <v>31</v>
      </c>
      <c r="G59" s="22" t="str">
        <f t="shared" si="10"/>
        <v>05/04/2021</v>
      </c>
      <c r="H59" s="4" t="s">
        <v>1</v>
      </c>
      <c r="I59" s="4" t="s">
        <v>0</v>
      </c>
      <c r="J59" s="1" t="s">
        <v>216</v>
      </c>
      <c r="K59" s="1" t="s">
        <v>215</v>
      </c>
      <c r="L59" s="1">
        <v>252</v>
      </c>
      <c r="M59" s="1">
        <v>252</v>
      </c>
      <c r="N59" s="1" t="s">
        <v>230</v>
      </c>
      <c r="O59" s="24" t="str">
        <f>+VLOOKUP(N59,'base de clientes'!A:B,2,0)</f>
        <v>NEGOCIOS CAMYRAM S.A DE C.V</v>
      </c>
      <c r="P59" s="1" t="s">
        <v>2</v>
      </c>
      <c r="Q59" s="1" t="s">
        <v>2</v>
      </c>
      <c r="R59" s="26">
        <v>360.26</v>
      </c>
      <c r="S59" s="24">
        <v>46.83</v>
      </c>
      <c r="T59" s="1" t="s">
        <v>2</v>
      </c>
      <c r="U59" s="1" t="s">
        <v>2</v>
      </c>
      <c r="V59" s="25">
        <f t="shared" si="7"/>
        <v>407.09</v>
      </c>
      <c r="W59" s="1" t="s">
        <v>1</v>
      </c>
      <c r="Y59" s="3">
        <f t="shared" si="8"/>
        <v>46.83</v>
      </c>
    </row>
    <row r="60" spans="1:25" x14ac:dyDescent="0.25">
      <c r="A60" s="1" t="s">
        <v>208</v>
      </c>
      <c r="B60" s="1" t="s">
        <v>485</v>
      </c>
      <c r="C60" s="5" t="str">
        <f t="shared" si="4"/>
        <v>05</v>
      </c>
      <c r="D60" s="5" t="str">
        <f t="shared" si="9"/>
        <v>04</v>
      </c>
      <c r="E60" s="4" t="s">
        <v>30</v>
      </c>
      <c r="F60" s="4" t="s">
        <v>31</v>
      </c>
      <c r="G60" s="22" t="str">
        <f t="shared" si="10"/>
        <v>05/04/2021</v>
      </c>
      <c r="H60" s="4" t="s">
        <v>1</v>
      </c>
      <c r="I60" s="4" t="s">
        <v>0</v>
      </c>
      <c r="J60" s="1" t="s">
        <v>216</v>
      </c>
      <c r="K60" s="1" t="s">
        <v>215</v>
      </c>
      <c r="L60" s="1">
        <v>253</v>
      </c>
      <c r="M60" s="1">
        <v>253</v>
      </c>
      <c r="N60" s="1" t="s">
        <v>261</v>
      </c>
      <c r="O60" s="24" t="str">
        <f>+VLOOKUP(N60,'base de clientes'!A:B,2,0)</f>
        <v>ENMANUEL S.A DE C.V.</v>
      </c>
      <c r="P60" s="1" t="s">
        <v>2</v>
      </c>
      <c r="Q60" s="1" t="s">
        <v>2</v>
      </c>
      <c r="R60" s="26">
        <v>375</v>
      </c>
      <c r="S60" s="24">
        <v>48.75</v>
      </c>
      <c r="T60" s="1" t="s">
        <v>2</v>
      </c>
      <c r="U60" s="1" t="s">
        <v>2</v>
      </c>
      <c r="V60" s="25">
        <f t="shared" si="7"/>
        <v>423.75</v>
      </c>
      <c r="W60" s="1" t="s">
        <v>1</v>
      </c>
      <c r="Y60" s="3">
        <f t="shared" si="8"/>
        <v>48.75</v>
      </c>
    </row>
    <row r="61" spans="1:25" x14ac:dyDescent="0.25">
      <c r="A61" s="1" t="s">
        <v>208</v>
      </c>
      <c r="B61" s="1" t="s">
        <v>485</v>
      </c>
      <c r="C61" s="5" t="str">
        <f t="shared" si="4"/>
        <v>05</v>
      </c>
      <c r="D61" s="5" t="str">
        <f t="shared" si="9"/>
        <v>04</v>
      </c>
      <c r="E61" s="4" t="s">
        <v>30</v>
      </c>
      <c r="F61" s="4" t="s">
        <v>31</v>
      </c>
      <c r="G61" s="22" t="str">
        <f t="shared" si="10"/>
        <v>05/04/2021</v>
      </c>
      <c r="H61" s="4" t="s">
        <v>1</v>
      </c>
      <c r="I61" s="4" t="s">
        <v>0</v>
      </c>
      <c r="J61" s="1" t="s">
        <v>216</v>
      </c>
      <c r="K61" s="1" t="s">
        <v>215</v>
      </c>
      <c r="L61" s="1">
        <v>254</v>
      </c>
      <c r="M61" s="1">
        <v>254</v>
      </c>
      <c r="N61" s="1" t="s">
        <v>226</v>
      </c>
      <c r="O61" s="24" t="str">
        <f>+VLOOKUP(N61,'base de clientes'!A:B,2,0)</f>
        <v>GRUPO PAILL S.A DE C.V.</v>
      </c>
      <c r="P61" s="1" t="s">
        <v>2</v>
      </c>
      <c r="Q61" s="1" t="s">
        <v>2</v>
      </c>
      <c r="R61" s="26">
        <v>1292.76</v>
      </c>
      <c r="S61" s="24">
        <v>168.06</v>
      </c>
      <c r="T61" s="1" t="s">
        <v>2</v>
      </c>
      <c r="U61" s="1" t="s">
        <v>2</v>
      </c>
      <c r="V61" s="25">
        <f t="shared" si="7"/>
        <v>1460.82</v>
      </c>
      <c r="W61" s="1" t="s">
        <v>1</v>
      </c>
      <c r="Y61" s="3">
        <f t="shared" si="8"/>
        <v>168.06</v>
      </c>
    </row>
    <row r="62" spans="1:25" x14ac:dyDescent="0.25">
      <c r="A62" s="1" t="s">
        <v>208</v>
      </c>
      <c r="B62" s="1" t="s">
        <v>485</v>
      </c>
      <c r="C62" s="5" t="str">
        <f t="shared" si="4"/>
        <v>05</v>
      </c>
      <c r="D62" s="5" t="str">
        <f t="shared" si="9"/>
        <v>04</v>
      </c>
      <c r="E62" s="4" t="s">
        <v>30</v>
      </c>
      <c r="F62" s="4" t="s">
        <v>31</v>
      </c>
      <c r="G62" s="22" t="str">
        <f t="shared" si="10"/>
        <v>05/04/2021</v>
      </c>
      <c r="H62" s="4" t="s">
        <v>1</v>
      </c>
      <c r="I62" s="4" t="s">
        <v>0</v>
      </c>
      <c r="J62" s="1" t="s">
        <v>216</v>
      </c>
      <c r="K62" s="1" t="s">
        <v>215</v>
      </c>
      <c r="L62" s="1">
        <v>255</v>
      </c>
      <c r="M62" s="1">
        <v>255</v>
      </c>
      <c r="N62" s="1" t="s">
        <v>646</v>
      </c>
      <c r="O62" s="24" t="str">
        <f>+VLOOKUP(N62,'base de clientes'!A:B,2,0)</f>
        <v>COMTRI S.A DE C.V.</v>
      </c>
      <c r="P62" s="1" t="s">
        <v>2</v>
      </c>
      <c r="Q62" s="1" t="s">
        <v>2</v>
      </c>
      <c r="R62" s="26">
        <v>199.96</v>
      </c>
      <c r="S62" s="24">
        <v>25.99</v>
      </c>
      <c r="T62" s="1" t="s">
        <v>2</v>
      </c>
      <c r="U62" s="1" t="s">
        <v>2</v>
      </c>
      <c r="V62" s="25">
        <f t="shared" si="7"/>
        <v>225.95000000000002</v>
      </c>
      <c r="W62" s="1" t="s">
        <v>1</v>
      </c>
      <c r="Y62" s="3">
        <f t="shared" si="8"/>
        <v>25.99</v>
      </c>
    </row>
    <row r="63" spans="1:25" x14ac:dyDescent="0.25">
      <c r="A63" s="1" t="s">
        <v>208</v>
      </c>
      <c r="B63" s="1" t="s">
        <v>501</v>
      </c>
      <c r="C63" s="5" t="str">
        <f t="shared" si="4"/>
        <v>14</v>
      </c>
      <c r="D63" s="5" t="str">
        <f t="shared" si="9"/>
        <v>04</v>
      </c>
      <c r="E63" s="4" t="s">
        <v>30</v>
      </c>
      <c r="F63" s="4" t="s">
        <v>31</v>
      </c>
      <c r="G63" s="22" t="str">
        <f t="shared" si="10"/>
        <v>14/04/2021</v>
      </c>
      <c r="H63" s="4" t="s">
        <v>1</v>
      </c>
      <c r="I63" s="4" t="s">
        <v>0</v>
      </c>
      <c r="J63" s="1" t="s">
        <v>216</v>
      </c>
      <c r="K63" s="1" t="s">
        <v>215</v>
      </c>
      <c r="L63" s="1">
        <v>256</v>
      </c>
      <c r="M63" s="1">
        <v>256</v>
      </c>
      <c r="N63" s="1" t="s">
        <v>304</v>
      </c>
      <c r="O63" s="24" t="str">
        <f>+VLOOKUP(N63,'base de clientes'!A:B,2,0)</f>
        <v>INDUSTRIAS MIKE MIKE S.A DE C.V.</v>
      </c>
      <c r="P63" s="1" t="s">
        <v>2</v>
      </c>
      <c r="Q63" s="1" t="s">
        <v>2</v>
      </c>
      <c r="R63" s="26">
        <v>165.92</v>
      </c>
      <c r="S63" s="24">
        <v>21.57</v>
      </c>
      <c r="T63" s="1" t="s">
        <v>2</v>
      </c>
      <c r="U63" s="1" t="s">
        <v>2</v>
      </c>
      <c r="V63" s="25">
        <f t="shared" si="7"/>
        <v>187.48999999999998</v>
      </c>
      <c r="W63" s="1" t="s">
        <v>1</v>
      </c>
      <c r="Y63" s="3">
        <f t="shared" si="8"/>
        <v>21.57</v>
      </c>
    </row>
    <row r="64" spans="1:25" hidden="1" x14ac:dyDescent="0.25">
      <c r="A64" s="1" t="s">
        <v>208</v>
      </c>
      <c r="B64" s="1" t="s">
        <v>501</v>
      </c>
      <c r="C64" s="5" t="str">
        <f t="shared" si="4"/>
        <v>14</v>
      </c>
      <c r="D64" s="5" t="str">
        <f t="shared" si="9"/>
        <v>04</v>
      </c>
      <c r="E64" s="4" t="s">
        <v>30</v>
      </c>
      <c r="F64" s="4" t="s">
        <v>31</v>
      </c>
      <c r="G64" s="22" t="str">
        <f t="shared" si="10"/>
        <v>14/04/2021</v>
      </c>
      <c r="H64" s="4" t="s">
        <v>1</v>
      </c>
      <c r="I64" s="4" t="s">
        <v>0</v>
      </c>
      <c r="J64" s="1" t="s">
        <v>216</v>
      </c>
      <c r="K64" s="1" t="s">
        <v>215</v>
      </c>
      <c r="L64" s="1">
        <v>257</v>
      </c>
      <c r="M64" s="1">
        <v>257</v>
      </c>
      <c r="N64" s="1" t="s">
        <v>256</v>
      </c>
      <c r="O64" s="24" t="str">
        <f>+VLOOKUP(N64,'base de clientes'!A:B,2,0)</f>
        <v>ANULADO</v>
      </c>
      <c r="P64" s="1" t="s">
        <v>2</v>
      </c>
      <c r="Q64" s="1" t="s">
        <v>2</v>
      </c>
      <c r="R64" s="26">
        <v>0</v>
      </c>
      <c r="S64" s="24">
        <v>0</v>
      </c>
      <c r="T64" s="1" t="s">
        <v>2</v>
      </c>
      <c r="U64" s="1" t="s">
        <v>2</v>
      </c>
      <c r="V64" s="25">
        <f t="shared" si="7"/>
        <v>0</v>
      </c>
      <c r="W64" s="1" t="s">
        <v>1</v>
      </c>
      <c r="Y64" s="3">
        <f t="shared" si="8"/>
        <v>0</v>
      </c>
    </row>
    <row r="65" spans="1:25" x14ac:dyDescent="0.25">
      <c r="A65" s="1" t="s">
        <v>208</v>
      </c>
      <c r="B65" s="1" t="s">
        <v>501</v>
      </c>
      <c r="C65" s="5" t="str">
        <f t="shared" si="4"/>
        <v>14</v>
      </c>
      <c r="D65" s="5" t="str">
        <f t="shared" si="9"/>
        <v>04</v>
      </c>
      <c r="E65" s="4" t="s">
        <v>30</v>
      </c>
      <c r="F65" s="4" t="s">
        <v>31</v>
      </c>
      <c r="G65" s="22" t="str">
        <f t="shared" si="10"/>
        <v>14/04/2021</v>
      </c>
      <c r="H65" s="4" t="s">
        <v>1</v>
      </c>
      <c r="I65" s="4" t="s">
        <v>0</v>
      </c>
      <c r="J65" s="1" t="s">
        <v>216</v>
      </c>
      <c r="K65" s="1" t="s">
        <v>215</v>
      </c>
      <c r="L65" s="1">
        <v>258</v>
      </c>
      <c r="M65" s="1">
        <v>258</v>
      </c>
      <c r="N65" s="1" t="s">
        <v>235</v>
      </c>
      <c r="O65" s="24" t="str">
        <f>+VLOOKUP(N65,'base de clientes'!A:B,2,0)</f>
        <v>UNILEVER EL SALVADOR SCC S.A DE C.V.</v>
      </c>
      <c r="P65" s="1" t="s">
        <v>2</v>
      </c>
      <c r="Q65" s="1" t="s">
        <v>2</v>
      </c>
      <c r="R65" s="26">
        <v>1175.42</v>
      </c>
      <c r="S65" s="24">
        <v>152.80000000000001</v>
      </c>
      <c r="T65" s="1" t="s">
        <v>2</v>
      </c>
      <c r="U65" s="1" t="s">
        <v>2</v>
      </c>
      <c r="V65" s="25">
        <f t="shared" si="7"/>
        <v>1328.22</v>
      </c>
      <c r="W65" s="1" t="s">
        <v>1</v>
      </c>
      <c r="Y65" s="3">
        <f t="shared" si="8"/>
        <v>152.80000000000001</v>
      </c>
    </row>
    <row r="66" spans="1:25" x14ac:dyDescent="0.25">
      <c r="A66" s="1" t="s">
        <v>208</v>
      </c>
      <c r="B66" s="1" t="s">
        <v>503</v>
      </c>
      <c r="C66" s="5" t="str">
        <f t="shared" si="4"/>
        <v>15</v>
      </c>
      <c r="D66" s="5" t="str">
        <f t="shared" si="9"/>
        <v>04</v>
      </c>
      <c r="E66" s="4" t="s">
        <v>30</v>
      </c>
      <c r="F66" s="4" t="s">
        <v>31</v>
      </c>
      <c r="G66" s="22" t="str">
        <f t="shared" si="10"/>
        <v>15/04/2021</v>
      </c>
      <c r="H66" s="4" t="s">
        <v>1</v>
      </c>
      <c r="I66" s="4" t="s">
        <v>0</v>
      </c>
      <c r="J66" s="1" t="s">
        <v>216</v>
      </c>
      <c r="K66" s="1" t="s">
        <v>215</v>
      </c>
      <c r="L66" s="1">
        <v>259</v>
      </c>
      <c r="M66" s="1">
        <v>259</v>
      </c>
      <c r="N66" s="1" t="s">
        <v>213</v>
      </c>
      <c r="O66" s="24" t="str">
        <f>+VLOOKUP(N66,'base de clientes'!A:B,2,0)</f>
        <v>PRODUCTOS CARNICOS S.A DE C.V.</v>
      </c>
      <c r="P66" s="1" t="s">
        <v>2</v>
      </c>
      <c r="Q66" s="1" t="s">
        <v>2</v>
      </c>
      <c r="R66" s="26">
        <v>689.2</v>
      </c>
      <c r="S66" s="24">
        <v>89.6</v>
      </c>
      <c r="T66" s="1" t="s">
        <v>2</v>
      </c>
      <c r="U66" s="1" t="s">
        <v>2</v>
      </c>
      <c r="V66" s="25">
        <f t="shared" si="7"/>
        <v>778.80000000000007</v>
      </c>
      <c r="W66" s="1" t="s">
        <v>1</v>
      </c>
      <c r="Y66" s="3">
        <f t="shared" si="8"/>
        <v>89.6</v>
      </c>
    </row>
    <row r="67" spans="1:25" x14ac:dyDescent="0.25">
      <c r="A67" s="1" t="s">
        <v>208</v>
      </c>
      <c r="B67" s="1" t="s">
        <v>532</v>
      </c>
      <c r="C67" s="5" t="str">
        <f t="shared" si="4"/>
        <v>21</v>
      </c>
      <c r="D67" s="5" t="str">
        <f t="shared" si="9"/>
        <v>04</v>
      </c>
      <c r="E67" s="4" t="s">
        <v>30</v>
      </c>
      <c r="F67" s="4" t="s">
        <v>31</v>
      </c>
      <c r="G67" s="22" t="str">
        <f t="shared" si="10"/>
        <v>21/04/2021</v>
      </c>
      <c r="H67" s="4" t="s">
        <v>1</v>
      </c>
      <c r="I67" s="4" t="s">
        <v>0</v>
      </c>
      <c r="J67" s="1" t="s">
        <v>216</v>
      </c>
      <c r="K67" s="1" t="s">
        <v>215</v>
      </c>
      <c r="L67" s="1">
        <v>260</v>
      </c>
      <c r="M67" s="1">
        <v>260</v>
      </c>
      <c r="N67" s="1" t="s">
        <v>217</v>
      </c>
      <c r="O67" s="24" t="str">
        <f>+VLOOKUP(N67,'base de clientes'!A:B,2,0)</f>
        <v>OPERADORA DEL SUR, S. A. DE C.V.</v>
      </c>
      <c r="P67" s="1" t="s">
        <v>2</v>
      </c>
      <c r="Q67" s="1" t="s">
        <v>2</v>
      </c>
      <c r="R67" s="26">
        <v>500</v>
      </c>
      <c r="S67" s="24">
        <v>65</v>
      </c>
      <c r="T67" s="1" t="s">
        <v>2</v>
      </c>
      <c r="U67" s="1" t="s">
        <v>2</v>
      </c>
      <c r="V67" s="25">
        <f t="shared" si="7"/>
        <v>565</v>
      </c>
      <c r="W67" s="1" t="s">
        <v>1</v>
      </c>
      <c r="Y67" s="3">
        <f t="shared" si="8"/>
        <v>65</v>
      </c>
    </row>
    <row r="68" spans="1:25" x14ac:dyDescent="0.25">
      <c r="A68" s="1" t="s">
        <v>208</v>
      </c>
      <c r="B68" s="1" t="s">
        <v>532</v>
      </c>
      <c r="C68" s="5" t="str">
        <f t="shared" si="4"/>
        <v>21</v>
      </c>
      <c r="D68" s="5" t="str">
        <f t="shared" si="9"/>
        <v>04</v>
      </c>
      <c r="E68" s="4" t="s">
        <v>30</v>
      </c>
      <c r="F68" s="4" t="s">
        <v>31</v>
      </c>
      <c r="G68" s="22" t="str">
        <f t="shared" si="10"/>
        <v>21/04/2021</v>
      </c>
      <c r="H68" s="4" t="s">
        <v>1</v>
      </c>
      <c r="I68" s="4" t="s">
        <v>0</v>
      </c>
      <c r="J68" s="1" t="s">
        <v>216</v>
      </c>
      <c r="K68" s="1" t="s">
        <v>215</v>
      </c>
      <c r="L68" s="1">
        <v>261</v>
      </c>
      <c r="M68" s="1">
        <v>261</v>
      </c>
      <c r="N68" s="1" t="s">
        <v>217</v>
      </c>
      <c r="O68" s="24" t="str">
        <f>+VLOOKUP(N68,'base de clientes'!A:B,2,0)</f>
        <v>OPERADORA DEL SUR, S. A. DE C.V.</v>
      </c>
      <c r="P68" s="1" t="s">
        <v>2</v>
      </c>
      <c r="Q68" s="1" t="s">
        <v>2</v>
      </c>
      <c r="R68" s="26">
        <v>2195.96</v>
      </c>
      <c r="S68" s="24">
        <v>285.47000000000003</v>
      </c>
      <c r="T68" s="1" t="s">
        <v>2</v>
      </c>
      <c r="U68" s="1" t="s">
        <v>2</v>
      </c>
      <c r="V68" s="25">
        <f t="shared" si="7"/>
        <v>2481.4300000000003</v>
      </c>
      <c r="W68" s="1" t="s">
        <v>1</v>
      </c>
      <c r="Y68" s="3">
        <f t="shared" si="8"/>
        <v>285.47000000000003</v>
      </c>
    </row>
    <row r="69" spans="1:25" hidden="1" x14ac:dyDescent="0.25">
      <c r="A69" s="1" t="s">
        <v>208</v>
      </c>
      <c r="B69" s="1" t="s">
        <v>532</v>
      </c>
      <c r="C69" s="5" t="str">
        <f t="shared" si="4"/>
        <v>21</v>
      </c>
      <c r="D69" s="5" t="str">
        <f t="shared" si="9"/>
        <v>04</v>
      </c>
      <c r="E69" s="4" t="s">
        <v>30</v>
      </c>
      <c r="F69" s="4" t="s">
        <v>31</v>
      </c>
      <c r="G69" s="22" t="str">
        <f t="shared" si="10"/>
        <v>21/04/2021</v>
      </c>
      <c r="H69" s="4" t="s">
        <v>1</v>
      </c>
      <c r="I69" s="4" t="s">
        <v>0</v>
      </c>
      <c r="J69" s="1" t="s">
        <v>216</v>
      </c>
      <c r="K69" s="1" t="s">
        <v>215</v>
      </c>
      <c r="L69" s="1">
        <v>262</v>
      </c>
      <c r="M69" s="1">
        <v>262</v>
      </c>
      <c r="N69" s="1" t="s">
        <v>256</v>
      </c>
      <c r="O69" s="24" t="str">
        <f>+VLOOKUP(N69,'base de clientes'!A:B,2,0)</f>
        <v>ANULADO</v>
      </c>
      <c r="P69" s="1" t="s">
        <v>2</v>
      </c>
      <c r="Q69" s="1" t="s">
        <v>2</v>
      </c>
      <c r="R69" s="26">
        <v>0</v>
      </c>
      <c r="S69" s="24">
        <v>0</v>
      </c>
      <c r="T69" s="1" t="s">
        <v>2</v>
      </c>
      <c r="U69" s="1" t="s">
        <v>2</v>
      </c>
      <c r="V69" s="25">
        <f t="shared" si="7"/>
        <v>0</v>
      </c>
      <c r="W69" s="1" t="s">
        <v>1</v>
      </c>
      <c r="Y69" s="3">
        <f t="shared" si="8"/>
        <v>0</v>
      </c>
    </row>
    <row r="70" spans="1:25" x14ac:dyDescent="0.25">
      <c r="A70" s="1" t="s">
        <v>208</v>
      </c>
      <c r="B70" s="1" t="s">
        <v>532</v>
      </c>
      <c r="C70" s="5" t="str">
        <f t="shared" si="4"/>
        <v>21</v>
      </c>
      <c r="D70" s="5" t="str">
        <f t="shared" si="9"/>
        <v>04</v>
      </c>
      <c r="E70" s="4" t="s">
        <v>30</v>
      </c>
      <c r="F70" s="4" t="s">
        <v>31</v>
      </c>
      <c r="G70" s="22" t="str">
        <f t="shared" si="10"/>
        <v>21/04/2021</v>
      </c>
      <c r="H70" s="4" t="s">
        <v>1</v>
      </c>
      <c r="I70" s="4" t="s">
        <v>0</v>
      </c>
      <c r="J70" s="1" t="s">
        <v>216</v>
      </c>
      <c r="K70" s="1" t="s">
        <v>215</v>
      </c>
      <c r="L70" s="1">
        <v>263</v>
      </c>
      <c r="M70" s="1">
        <v>263</v>
      </c>
      <c r="N70" s="1" t="s">
        <v>217</v>
      </c>
      <c r="O70" s="24" t="str">
        <f>+VLOOKUP(N70,'base de clientes'!A:B,2,0)</f>
        <v>OPERADORA DEL SUR, S. A. DE C.V.</v>
      </c>
      <c r="P70" s="1" t="s">
        <v>2</v>
      </c>
      <c r="Q70" s="1" t="s">
        <v>2</v>
      </c>
      <c r="R70" s="26">
        <v>366.8</v>
      </c>
      <c r="S70" s="24">
        <v>47.68</v>
      </c>
      <c r="T70" s="1" t="s">
        <v>2</v>
      </c>
      <c r="U70" s="1" t="s">
        <v>2</v>
      </c>
      <c r="V70" s="25">
        <f t="shared" si="7"/>
        <v>414.48</v>
      </c>
      <c r="W70" s="1" t="s">
        <v>1</v>
      </c>
      <c r="Y70" s="3">
        <f t="shared" si="8"/>
        <v>47.68</v>
      </c>
    </row>
    <row r="71" spans="1:25" x14ac:dyDescent="0.25">
      <c r="A71" s="1" t="s">
        <v>208</v>
      </c>
      <c r="B71" s="1" t="s">
        <v>532</v>
      </c>
      <c r="C71" s="5" t="str">
        <f t="shared" si="4"/>
        <v>21</v>
      </c>
      <c r="D71" s="5" t="str">
        <f t="shared" si="9"/>
        <v>04</v>
      </c>
      <c r="E71" s="4" t="s">
        <v>30</v>
      </c>
      <c r="F71" s="4" t="s">
        <v>31</v>
      </c>
      <c r="G71" s="22" t="str">
        <f t="shared" si="10"/>
        <v>21/04/2021</v>
      </c>
      <c r="H71" s="4" t="s">
        <v>1</v>
      </c>
      <c r="I71" s="4" t="s">
        <v>0</v>
      </c>
      <c r="J71" s="1" t="s">
        <v>216</v>
      </c>
      <c r="K71" s="1" t="s">
        <v>215</v>
      </c>
      <c r="L71" s="1">
        <v>264</v>
      </c>
      <c r="M71" s="1">
        <v>264</v>
      </c>
      <c r="N71" s="1" t="s">
        <v>217</v>
      </c>
      <c r="O71" s="24" t="str">
        <f>+VLOOKUP(N71,'base de clientes'!A:B,2,0)</f>
        <v>OPERADORA DEL SUR, S. A. DE C.V.</v>
      </c>
      <c r="P71" s="1" t="s">
        <v>2</v>
      </c>
      <c r="Q71" s="1" t="s">
        <v>2</v>
      </c>
      <c r="R71" s="26">
        <v>550</v>
      </c>
      <c r="S71" s="24">
        <v>71.5</v>
      </c>
      <c r="T71" s="1" t="s">
        <v>2</v>
      </c>
      <c r="U71" s="1" t="s">
        <v>2</v>
      </c>
      <c r="V71" s="25">
        <f t="shared" si="7"/>
        <v>621.5</v>
      </c>
      <c r="W71" s="1" t="s">
        <v>1</v>
      </c>
      <c r="Y71" s="3">
        <f t="shared" si="8"/>
        <v>71.5</v>
      </c>
    </row>
    <row r="72" spans="1:25" x14ac:dyDescent="0.25">
      <c r="A72" s="1" t="s">
        <v>208</v>
      </c>
      <c r="B72" s="1" t="s">
        <v>532</v>
      </c>
      <c r="C72" s="5" t="str">
        <f t="shared" si="4"/>
        <v>21</v>
      </c>
      <c r="D72" s="5" t="str">
        <f t="shared" si="9"/>
        <v>04</v>
      </c>
      <c r="E72" s="4" t="s">
        <v>30</v>
      </c>
      <c r="F72" s="4" t="s">
        <v>31</v>
      </c>
      <c r="G72" s="22" t="str">
        <f t="shared" si="10"/>
        <v>21/04/2021</v>
      </c>
      <c r="H72" s="4" t="s">
        <v>1</v>
      </c>
      <c r="I72" s="4" t="s">
        <v>0</v>
      </c>
      <c r="J72" s="1" t="s">
        <v>216</v>
      </c>
      <c r="K72" s="1" t="s">
        <v>215</v>
      </c>
      <c r="L72" s="1">
        <v>265</v>
      </c>
      <c r="M72" s="1">
        <v>265</v>
      </c>
      <c r="N72" s="1" t="s">
        <v>648</v>
      </c>
      <c r="O72" s="24" t="str">
        <f>+VLOOKUP(N72,'base de clientes'!A:B,2,0)</f>
        <v>BOMBOM S.A DE C.V.</v>
      </c>
      <c r="P72" s="1" t="s">
        <v>2</v>
      </c>
      <c r="Q72" s="1" t="s">
        <v>2</v>
      </c>
      <c r="R72" s="26">
        <v>179</v>
      </c>
      <c r="S72" s="24">
        <v>23.27</v>
      </c>
      <c r="T72" s="1" t="s">
        <v>2</v>
      </c>
      <c r="U72" s="1" t="s">
        <v>2</v>
      </c>
      <c r="V72" s="25">
        <f t="shared" si="7"/>
        <v>202.27</v>
      </c>
      <c r="W72" s="1" t="s">
        <v>1</v>
      </c>
      <c r="Y72" s="3">
        <f t="shared" si="8"/>
        <v>23.27</v>
      </c>
    </row>
    <row r="73" spans="1:25" x14ac:dyDescent="0.25">
      <c r="A73" s="1" t="s">
        <v>208</v>
      </c>
      <c r="B73" s="1" t="s">
        <v>532</v>
      </c>
      <c r="C73" s="5" t="str">
        <f t="shared" si="4"/>
        <v>21</v>
      </c>
      <c r="D73" s="5" t="str">
        <f t="shared" si="9"/>
        <v>04</v>
      </c>
      <c r="E73" s="4" t="s">
        <v>30</v>
      </c>
      <c r="F73" s="4" t="s">
        <v>31</v>
      </c>
      <c r="G73" s="22" t="str">
        <f t="shared" si="10"/>
        <v>21/04/2021</v>
      </c>
      <c r="H73" s="4" t="s">
        <v>1</v>
      </c>
      <c r="I73" s="4" t="s">
        <v>0</v>
      </c>
      <c r="J73" s="1" t="s">
        <v>216</v>
      </c>
      <c r="K73" s="1" t="s">
        <v>215</v>
      </c>
      <c r="L73" s="1">
        <v>266</v>
      </c>
      <c r="M73" s="1">
        <v>266</v>
      </c>
      <c r="N73" s="1" t="s">
        <v>269</v>
      </c>
      <c r="O73" s="24" t="str">
        <f>+VLOOKUP(N73,'base de clientes'!A:B,2,0)</f>
        <v>INVERSIONES STANLEY PACIFICO S.A DE C.V.</v>
      </c>
      <c r="P73" s="1" t="s">
        <v>2</v>
      </c>
      <c r="Q73" s="1" t="s">
        <v>2</v>
      </c>
      <c r="R73" s="26">
        <v>386.64</v>
      </c>
      <c r="S73" s="24">
        <v>50.26</v>
      </c>
      <c r="T73" s="1" t="s">
        <v>2</v>
      </c>
      <c r="U73" s="1" t="s">
        <v>2</v>
      </c>
      <c r="V73" s="25">
        <f t="shared" si="7"/>
        <v>436.9</v>
      </c>
      <c r="W73" s="1" t="s">
        <v>1</v>
      </c>
      <c r="Y73" s="3">
        <f t="shared" si="8"/>
        <v>50.26</v>
      </c>
    </row>
    <row r="74" spans="1:25" x14ac:dyDescent="0.25">
      <c r="A74" s="1" t="s">
        <v>208</v>
      </c>
      <c r="B74" s="1" t="s">
        <v>518</v>
      </c>
      <c r="C74" s="5" t="str">
        <f t="shared" si="4"/>
        <v>22</v>
      </c>
      <c r="D74" s="5" t="str">
        <f t="shared" ref="D74:D79" si="11">+RIGHT(B74,2)</f>
        <v>04</v>
      </c>
      <c r="E74" s="4" t="s">
        <v>30</v>
      </c>
      <c r="F74" s="4" t="s">
        <v>31</v>
      </c>
      <c r="G74" s="22" t="str">
        <f t="shared" ref="G74:G79" si="12">+C74&amp;F74&amp;D74&amp;F74&amp;E74</f>
        <v>22/04/2021</v>
      </c>
      <c r="H74" s="4" t="s">
        <v>1</v>
      </c>
      <c r="I74" s="4" t="s">
        <v>0</v>
      </c>
      <c r="J74" s="1" t="s">
        <v>216</v>
      </c>
      <c r="K74" s="1" t="s">
        <v>215</v>
      </c>
      <c r="L74" s="1">
        <v>267</v>
      </c>
      <c r="M74" s="1">
        <v>267</v>
      </c>
      <c r="N74" s="1" t="s">
        <v>217</v>
      </c>
      <c r="O74" s="24" t="str">
        <f>+VLOOKUP(N74,'base de clientes'!A:B,2,0)</f>
        <v>OPERADORA DEL SUR, S. A. DE C.V.</v>
      </c>
      <c r="P74" s="1" t="s">
        <v>2</v>
      </c>
      <c r="Q74" s="1" t="s">
        <v>2</v>
      </c>
      <c r="R74" s="26">
        <v>406.33</v>
      </c>
      <c r="S74" s="24">
        <v>52.82</v>
      </c>
      <c r="T74" s="1" t="s">
        <v>2</v>
      </c>
      <c r="U74" s="1" t="s">
        <v>2</v>
      </c>
      <c r="V74" s="25">
        <f t="shared" si="7"/>
        <v>459.15</v>
      </c>
      <c r="W74" s="1" t="s">
        <v>1</v>
      </c>
      <c r="Y74" s="3">
        <f t="shared" si="8"/>
        <v>52.82</v>
      </c>
    </row>
    <row r="75" spans="1:25" x14ac:dyDescent="0.25">
      <c r="A75" s="1" t="s">
        <v>208</v>
      </c>
      <c r="B75" s="1" t="s">
        <v>518</v>
      </c>
      <c r="C75" s="5" t="str">
        <f t="shared" si="4"/>
        <v>22</v>
      </c>
      <c r="D75" s="5" t="str">
        <f t="shared" si="11"/>
        <v>04</v>
      </c>
      <c r="E75" s="4" t="s">
        <v>30</v>
      </c>
      <c r="F75" s="4" t="s">
        <v>31</v>
      </c>
      <c r="G75" s="22" t="str">
        <f t="shared" si="12"/>
        <v>22/04/2021</v>
      </c>
      <c r="H75" s="4" t="s">
        <v>1</v>
      </c>
      <c r="I75" s="4" t="s">
        <v>0</v>
      </c>
      <c r="J75" s="1" t="s">
        <v>216</v>
      </c>
      <c r="K75" s="1" t="s">
        <v>215</v>
      </c>
      <c r="L75" s="1">
        <v>268</v>
      </c>
      <c r="M75" s="1">
        <v>268</v>
      </c>
      <c r="N75" s="1" t="s">
        <v>217</v>
      </c>
      <c r="O75" s="24" t="str">
        <f>+VLOOKUP(N75,'base de clientes'!A:B,2,0)</f>
        <v>OPERADORA DEL SUR, S. A. DE C.V.</v>
      </c>
      <c r="P75" s="1" t="s">
        <v>2</v>
      </c>
      <c r="Q75" s="1" t="s">
        <v>2</v>
      </c>
      <c r="R75" s="26">
        <v>368.63</v>
      </c>
      <c r="S75" s="24">
        <v>47.92</v>
      </c>
      <c r="T75" s="1" t="s">
        <v>2</v>
      </c>
      <c r="U75" s="1" t="s">
        <v>2</v>
      </c>
      <c r="V75" s="25">
        <f t="shared" si="7"/>
        <v>416.55</v>
      </c>
      <c r="W75" s="1" t="s">
        <v>1</v>
      </c>
      <c r="Y75" s="3">
        <f t="shared" si="8"/>
        <v>47.92</v>
      </c>
    </row>
    <row r="76" spans="1:25" x14ac:dyDescent="0.25">
      <c r="A76" s="1" t="s">
        <v>208</v>
      </c>
      <c r="B76" s="1" t="s">
        <v>598</v>
      </c>
      <c r="C76" s="5" t="str">
        <f t="shared" si="4"/>
        <v>23</v>
      </c>
      <c r="D76" s="5" t="str">
        <f t="shared" si="11"/>
        <v>04</v>
      </c>
      <c r="E76" s="4" t="s">
        <v>30</v>
      </c>
      <c r="F76" s="4" t="s">
        <v>31</v>
      </c>
      <c r="G76" s="22" t="str">
        <f t="shared" si="12"/>
        <v>23/04/2021</v>
      </c>
      <c r="H76" s="4" t="s">
        <v>1</v>
      </c>
      <c r="I76" s="4" t="s">
        <v>0</v>
      </c>
      <c r="J76" s="1" t="s">
        <v>216</v>
      </c>
      <c r="K76" s="1" t="s">
        <v>215</v>
      </c>
      <c r="L76" s="1">
        <v>269</v>
      </c>
      <c r="M76" s="1">
        <v>269</v>
      </c>
      <c r="N76" s="1" t="s">
        <v>228</v>
      </c>
      <c r="O76" s="24" t="str">
        <f>+VLOOKUP(N76,'base de clientes'!A:B,2,0)</f>
        <v>POLYBAG S.A DE C.V.</v>
      </c>
      <c r="P76" s="1" t="s">
        <v>2</v>
      </c>
      <c r="Q76" s="1" t="s">
        <v>2</v>
      </c>
      <c r="R76" s="26">
        <v>390</v>
      </c>
      <c r="S76" s="24">
        <v>50.7</v>
      </c>
      <c r="T76" s="1" t="s">
        <v>2</v>
      </c>
      <c r="U76" s="1" t="s">
        <v>2</v>
      </c>
      <c r="V76" s="25">
        <f t="shared" si="7"/>
        <v>440.7</v>
      </c>
      <c r="W76" s="1" t="s">
        <v>1</v>
      </c>
      <c r="Y76" s="3">
        <f t="shared" si="8"/>
        <v>50.7</v>
      </c>
    </row>
    <row r="77" spans="1:25" x14ac:dyDescent="0.25">
      <c r="A77" s="1" t="s">
        <v>208</v>
      </c>
      <c r="B77" s="1" t="s">
        <v>536</v>
      </c>
      <c r="C77" s="5" t="str">
        <f t="shared" si="4"/>
        <v>28</v>
      </c>
      <c r="D77" s="5" t="str">
        <f t="shared" si="11"/>
        <v>04</v>
      </c>
      <c r="E77" s="4" t="s">
        <v>30</v>
      </c>
      <c r="F77" s="4" t="s">
        <v>31</v>
      </c>
      <c r="G77" s="22" t="str">
        <f t="shared" si="12"/>
        <v>28/04/2021</v>
      </c>
      <c r="H77" s="4" t="s">
        <v>1</v>
      </c>
      <c r="I77" s="4" t="s">
        <v>0</v>
      </c>
      <c r="J77" s="1" t="s">
        <v>216</v>
      </c>
      <c r="K77" s="1" t="s">
        <v>215</v>
      </c>
      <c r="L77" s="1">
        <v>270</v>
      </c>
      <c r="M77" s="1">
        <v>270</v>
      </c>
      <c r="N77" s="1" t="s">
        <v>213</v>
      </c>
      <c r="O77" s="24" t="str">
        <f>+VLOOKUP(N77,'base de clientes'!A:B,2,0)</f>
        <v>PRODUCTOS CARNICOS S.A DE C.V.</v>
      </c>
      <c r="P77" s="1" t="s">
        <v>2</v>
      </c>
      <c r="Q77" s="1" t="s">
        <v>2</v>
      </c>
      <c r="R77" s="26">
        <v>2607</v>
      </c>
      <c r="S77" s="24">
        <v>338.91</v>
      </c>
      <c r="T77" s="1" t="s">
        <v>2</v>
      </c>
      <c r="U77" s="1" t="s">
        <v>2</v>
      </c>
      <c r="V77" s="25">
        <f t="shared" si="7"/>
        <v>2945.91</v>
      </c>
      <c r="W77" s="1" t="s">
        <v>1</v>
      </c>
      <c r="Y77" s="3">
        <f t="shared" si="8"/>
        <v>338.91</v>
      </c>
    </row>
    <row r="78" spans="1:25" x14ac:dyDescent="0.25">
      <c r="A78" s="1" t="s">
        <v>208</v>
      </c>
      <c r="B78" s="1" t="s">
        <v>536</v>
      </c>
      <c r="C78" s="5" t="str">
        <f t="shared" si="4"/>
        <v>28</v>
      </c>
      <c r="D78" s="5" t="str">
        <f t="shared" si="11"/>
        <v>04</v>
      </c>
      <c r="E78" s="4" t="s">
        <v>30</v>
      </c>
      <c r="F78" s="4" t="s">
        <v>31</v>
      </c>
      <c r="G78" s="22" t="str">
        <f t="shared" si="12"/>
        <v>28/04/2021</v>
      </c>
      <c r="H78" s="4" t="s">
        <v>1</v>
      </c>
      <c r="I78" s="4" t="s">
        <v>0</v>
      </c>
      <c r="J78" s="1" t="s">
        <v>216</v>
      </c>
      <c r="K78" s="1" t="s">
        <v>215</v>
      </c>
      <c r="L78" s="1">
        <v>271</v>
      </c>
      <c r="M78" s="1">
        <v>271</v>
      </c>
      <c r="N78" s="1" t="s">
        <v>650</v>
      </c>
      <c r="O78" s="24" t="str">
        <f>+VLOOKUP(N78,'base de clientes'!A:B,2,0)</f>
        <v>ESTABLECIMIENTOS ANCALMO, S.A DE C.V</v>
      </c>
      <c r="P78" s="1" t="s">
        <v>2</v>
      </c>
      <c r="Q78" s="1" t="s">
        <v>2</v>
      </c>
      <c r="R78" s="26">
        <v>183.69</v>
      </c>
      <c r="S78" s="24">
        <v>23.88</v>
      </c>
      <c r="T78" s="1" t="s">
        <v>2</v>
      </c>
      <c r="U78" s="1" t="s">
        <v>2</v>
      </c>
      <c r="V78" s="25">
        <f t="shared" si="7"/>
        <v>207.57</v>
      </c>
      <c r="W78" s="1" t="s">
        <v>1</v>
      </c>
      <c r="Y78" s="3">
        <f t="shared" si="8"/>
        <v>23.88</v>
      </c>
    </row>
    <row r="79" spans="1:25" x14ac:dyDescent="0.25">
      <c r="A79" s="1" t="s">
        <v>208</v>
      </c>
      <c r="B79" s="1" t="s">
        <v>536</v>
      </c>
      <c r="C79" s="5" t="str">
        <f t="shared" si="4"/>
        <v>28</v>
      </c>
      <c r="D79" s="5" t="str">
        <f t="shared" si="11"/>
        <v>04</v>
      </c>
      <c r="E79" s="4" t="s">
        <v>30</v>
      </c>
      <c r="F79" s="4" t="s">
        <v>31</v>
      </c>
      <c r="G79" s="22" t="str">
        <f t="shared" si="12"/>
        <v>28/04/2021</v>
      </c>
      <c r="H79" s="4" t="s">
        <v>1</v>
      </c>
      <c r="I79" s="4" t="s">
        <v>0</v>
      </c>
      <c r="J79" s="1" t="s">
        <v>216</v>
      </c>
      <c r="K79" s="1" t="s">
        <v>215</v>
      </c>
      <c r="L79" s="1">
        <v>272</v>
      </c>
      <c r="M79" s="1">
        <v>272</v>
      </c>
      <c r="N79" s="1" t="s">
        <v>650</v>
      </c>
      <c r="O79" s="24" t="str">
        <f>+VLOOKUP(N79,'base de clientes'!A:B,2,0)</f>
        <v>ESTABLECIMIENTOS ANCALMO, S.A DE C.V</v>
      </c>
      <c r="P79" s="1" t="s">
        <v>2</v>
      </c>
      <c r="Q79" s="1" t="s">
        <v>2</v>
      </c>
      <c r="R79" s="26">
        <v>143.63999999999999</v>
      </c>
      <c r="S79" s="24">
        <v>18.670000000000002</v>
      </c>
      <c r="T79" s="1" t="s">
        <v>2</v>
      </c>
      <c r="U79" s="1" t="s">
        <v>2</v>
      </c>
      <c r="V79" s="25">
        <f t="shared" si="7"/>
        <v>162.31</v>
      </c>
      <c r="W79" s="1" t="s">
        <v>1</v>
      </c>
      <c r="Y79" s="3">
        <f t="shared" si="8"/>
        <v>18.670000000000002</v>
      </c>
    </row>
    <row r="80" spans="1:25" x14ac:dyDescent="0.25">
      <c r="A80" s="1" t="s">
        <v>651</v>
      </c>
      <c r="B80" s="1" t="s">
        <v>652</v>
      </c>
      <c r="C80" s="5" t="str">
        <f t="shared" ref="C80:C124" si="13">+LEFT(B80,2)</f>
        <v>03</v>
      </c>
      <c r="D80" s="5" t="str">
        <f t="shared" ref="D80:D124" si="14">+RIGHT(B80,2)</f>
        <v>05</v>
      </c>
      <c r="E80" s="4" t="s">
        <v>30</v>
      </c>
      <c r="F80" s="4" t="s">
        <v>31</v>
      </c>
      <c r="G80" s="22" t="str">
        <f t="shared" ref="G80:G124" si="15">+C80&amp;F80&amp;D80&amp;F80&amp;E80</f>
        <v>03/05/2021</v>
      </c>
      <c r="H80" s="4" t="s">
        <v>1</v>
      </c>
      <c r="I80" s="4" t="s">
        <v>0</v>
      </c>
      <c r="J80" s="1" t="s">
        <v>216</v>
      </c>
      <c r="K80" s="1" t="s">
        <v>215</v>
      </c>
      <c r="L80" s="1">
        <v>273</v>
      </c>
      <c r="M80" s="1">
        <v>273</v>
      </c>
      <c r="N80" s="1" t="s">
        <v>249</v>
      </c>
      <c r="O80" s="24" t="str">
        <f>+VLOOKUP(N80,'base de clientes'!A:B,2,0)</f>
        <v>PROGURSA S.A DE C.V.</v>
      </c>
      <c r="P80" s="1" t="s">
        <v>2</v>
      </c>
      <c r="Q80" s="1" t="s">
        <v>2</v>
      </c>
      <c r="R80" s="26">
        <v>150</v>
      </c>
      <c r="S80" s="24">
        <v>19.5</v>
      </c>
      <c r="T80" s="1" t="s">
        <v>2</v>
      </c>
      <c r="U80" s="1" t="s">
        <v>2</v>
      </c>
      <c r="V80" s="25">
        <f t="shared" ref="V80:V124" si="16">+R80+S80</f>
        <v>169.5</v>
      </c>
      <c r="W80" s="1" t="s">
        <v>1</v>
      </c>
      <c r="Y80" s="3">
        <f t="shared" ref="Y80:Y124" si="17">+ROUND(S80,2)</f>
        <v>19.5</v>
      </c>
    </row>
    <row r="81" spans="1:25" x14ac:dyDescent="0.25">
      <c r="A81" s="1" t="s">
        <v>651</v>
      </c>
      <c r="B81" s="1" t="s">
        <v>652</v>
      </c>
      <c r="C81" s="5" t="str">
        <f t="shared" si="13"/>
        <v>03</v>
      </c>
      <c r="D81" s="5" t="str">
        <f t="shared" si="14"/>
        <v>05</v>
      </c>
      <c r="E81" s="4" t="s">
        <v>30</v>
      </c>
      <c r="F81" s="4" t="s">
        <v>31</v>
      </c>
      <c r="G81" s="22" t="str">
        <f t="shared" si="15"/>
        <v>03/05/2021</v>
      </c>
      <c r="H81" s="4" t="s">
        <v>1</v>
      </c>
      <c r="I81" s="4" t="s">
        <v>0</v>
      </c>
      <c r="J81" s="1" t="s">
        <v>216</v>
      </c>
      <c r="K81" s="1" t="s">
        <v>215</v>
      </c>
      <c r="L81" s="1">
        <v>274</v>
      </c>
      <c r="M81" s="1">
        <v>274</v>
      </c>
      <c r="N81" s="1" t="s">
        <v>230</v>
      </c>
      <c r="O81" s="24" t="str">
        <f>+VLOOKUP(N81,'base de clientes'!A:B,2,0)</f>
        <v>NEGOCIOS CAMYRAM S.A DE C.V</v>
      </c>
      <c r="P81" s="1" t="s">
        <v>2</v>
      </c>
      <c r="Q81" s="1" t="s">
        <v>2</v>
      </c>
      <c r="R81" s="26">
        <v>360.26</v>
      </c>
      <c r="S81" s="24">
        <v>46.83</v>
      </c>
      <c r="T81" s="1" t="s">
        <v>2</v>
      </c>
      <c r="U81" s="1" t="s">
        <v>2</v>
      </c>
      <c r="V81" s="25">
        <f t="shared" si="16"/>
        <v>407.09</v>
      </c>
      <c r="W81" s="1" t="s">
        <v>1</v>
      </c>
      <c r="Y81" s="3">
        <f t="shared" si="17"/>
        <v>46.83</v>
      </c>
    </row>
    <row r="82" spans="1:25" hidden="1" x14ac:dyDescent="0.25">
      <c r="A82" s="1" t="s">
        <v>651</v>
      </c>
      <c r="B82" s="1" t="s">
        <v>652</v>
      </c>
      <c r="C82" s="5" t="str">
        <f t="shared" si="13"/>
        <v>03</v>
      </c>
      <c r="D82" s="5" t="str">
        <f t="shared" si="14"/>
        <v>05</v>
      </c>
      <c r="E82" s="4" t="s">
        <v>30</v>
      </c>
      <c r="F82" s="4" t="s">
        <v>31</v>
      </c>
      <c r="G82" s="22" t="str">
        <f t="shared" si="15"/>
        <v>03/05/2021</v>
      </c>
      <c r="H82" s="4" t="s">
        <v>1</v>
      </c>
      <c r="I82" s="4" t="s">
        <v>0</v>
      </c>
      <c r="J82" s="1" t="s">
        <v>216</v>
      </c>
      <c r="K82" s="1" t="s">
        <v>215</v>
      </c>
      <c r="L82" s="1">
        <v>275</v>
      </c>
      <c r="M82" s="1">
        <v>275</v>
      </c>
      <c r="N82" s="25" t="s">
        <v>256</v>
      </c>
      <c r="O82" s="24" t="str">
        <f>+VLOOKUP(N82,'base de clientes'!A:B,2,0)</f>
        <v>ANULADO</v>
      </c>
      <c r="P82" s="1" t="s">
        <v>2</v>
      </c>
      <c r="Q82" s="1" t="s">
        <v>2</v>
      </c>
      <c r="R82" s="26">
        <v>0</v>
      </c>
      <c r="S82" s="24">
        <v>0</v>
      </c>
      <c r="T82" s="1" t="s">
        <v>2</v>
      </c>
      <c r="U82" s="1" t="s">
        <v>2</v>
      </c>
      <c r="V82" s="25">
        <f t="shared" si="16"/>
        <v>0</v>
      </c>
      <c r="W82" s="1" t="s">
        <v>1</v>
      </c>
      <c r="Y82" s="3">
        <f t="shared" si="17"/>
        <v>0</v>
      </c>
    </row>
    <row r="83" spans="1:25" x14ac:dyDescent="0.25">
      <c r="A83" s="1" t="s">
        <v>651</v>
      </c>
      <c r="B83" s="1" t="s">
        <v>652</v>
      </c>
      <c r="C83" s="5" t="str">
        <f t="shared" si="13"/>
        <v>03</v>
      </c>
      <c r="D83" s="5" t="str">
        <f t="shared" si="14"/>
        <v>05</v>
      </c>
      <c r="E83" s="4" t="s">
        <v>30</v>
      </c>
      <c r="F83" s="4" t="s">
        <v>31</v>
      </c>
      <c r="G83" s="22" t="str">
        <f t="shared" si="15"/>
        <v>03/05/2021</v>
      </c>
      <c r="H83" s="4" t="s">
        <v>1</v>
      </c>
      <c r="I83" s="4" t="s">
        <v>0</v>
      </c>
      <c r="J83" s="1" t="s">
        <v>216</v>
      </c>
      <c r="K83" s="1" t="s">
        <v>215</v>
      </c>
      <c r="L83" s="1">
        <v>276</v>
      </c>
      <c r="M83" s="1">
        <v>276</v>
      </c>
      <c r="N83" s="1" t="s">
        <v>226</v>
      </c>
      <c r="O83" s="24" t="str">
        <f>+VLOOKUP(N83,'base de clientes'!A:B,2,0)</f>
        <v>GRUPO PAILL S.A DE C.V.</v>
      </c>
      <c r="P83" s="1" t="s">
        <v>2</v>
      </c>
      <c r="Q83" s="1" t="s">
        <v>2</v>
      </c>
      <c r="R83" s="26">
        <v>1005.48</v>
      </c>
      <c r="S83" s="24">
        <v>130.71</v>
      </c>
      <c r="T83" s="1" t="s">
        <v>2</v>
      </c>
      <c r="U83" s="1" t="s">
        <v>2</v>
      </c>
      <c r="V83" s="25">
        <f t="shared" si="16"/>
        <v>1136.19</v>
      </c>
      <c r="W83" s="1" t="s">
        <v>1</v>
      </c>
      <c r="Y83" s="3">
        <f t="shared" si="17"/>
        <v>130.71</v>
      </c>
    </row>
    <row r="84" spans="1:25" x14ac:dyDescent="0.25">
      <c r="A84" s="1" t="s">
        <v>651</v>
      </c>
      <c r="B84" s="1" t="s">
        <v>652</v>
      </c>
      <c r="C84" s="5" t="str">
        <f t="shared" si="13"/>
        <v>03</v>
      </c>
      <c r="D84" s="5" t="str">
        <f t="shared" si="14"/>
        <v>05</v>
      </c>
      <c r="E84" s="4" t="s">
        <v>30</v>
      </c>
      <c r="F84" s="4" t="s">
        <v>31</v>
      </c>
      <c r="G84" s="22" t="str">
        <f t="shared" si="15"/>
        <v>03/05/2021</v>
      </c>
      <c r="H84" s="4" t="s">
        <v>1</v>
      </c>
      <c r="I84" s="4" t="s">
        <v>0</v>
      </c>
      <c r="J84" s="1" t="s">
        <v>216</v>
      </c>
      <c r="K84" s="1" t="s">
        <v>215</v>
      </c>
      <c r="L84" s="1">
        <v>277</v>
      </c>
      <c r="M84" s="1">
        <v>277</v>
      </c>
      <c r="N84" s="1" t="s">
        <v>653</v>
      </c>
      <c r="O84" s="24" t="str">
        <f>+VLOOKUP(N84,'base de clientes'!A:B,2,0)</f>
        <v>CORPORACION GRS S.A DE C.V.</v>
      </c>
      <c r="P84" s="1" t="s">
        <v>2</v>
      </c>
      <c r="Q84" s="1" t="s">
        <v>2</v>
      </c>
      <c r="R84" s="26">
        <v>157.56</v>
      </c>
      <c r="S84" s="24">
        <v>20.48</v>
      </c>
      <c r="T84" s="1" t="s">
        <v>2</v>
      </c>
      <c r="U84" s="1" t="s">
        <v>2</v>
      </c>
      <c r="V84" s="25">
        <f t="shared" si="16"/>
        <v>178.04</v>
      </c>
      <c r="W84" s="1" t="s">
        <v>1</v>
      </c>
      <c r="Y84" s="3">
        <f t="shared" si="17"/>
        <v>20.48</v>
      </c>
    </row>
    <row r="85" spans="1:25" x14ac:dyDescent="0.25">
      <c r="A85" s="1" t="s">
        <v>651</v>
      </c>
      <c r="B85" s="1" t="s">
        <v>652</v>
      </c>
      <c r="C85" s="5" t="str">
        <f t="shared" si="13"/>
        <v>03</v>
      </c>
      <c r="D85" s="5" t="str">
        <f t="shared" si="14"/>
        <v>05</v>
      </c>
      <c r="E85" s="4" t="s">
        <v>30</v>
      </c>
      <c r="F85" s="4" t="s">
        <v>31</v>
      </c>
      <c r="G85" s="22" t="str">
        <f t="shared" si="15"/>
        <v>03/05/2021</v>
      </c>
      <c r="H85" s="4" t="s">
        <v>1</v>
      </c>
      <c r="I85" s="4" t="s">
        <v>0</v>
      </c>
      <c r="J85" s="1" t="s">
        <v>216</v>
      </c>
      <c r="K85" s="1" t="s">
        <v>215</v>
      </c>
      <c r="L85" s="1">
        <v>278</v>
      </c>
      <c r="M85" s="1">
        <v>278</v>
      </c>
      <c r="N85" s="1" t="s">
        <v>221</v>
      </c>
      <c r="O85" s="24" t="str">
        <f>+VLOOKUP(N85,'base de clientes'!A:B,2,0)</f>
        <v>DIDEA S.A DE C.V.</v>
      </c>
      <c r="P85" s="1" t="s">
        <v>2</v>
      </c>
      <c r="Q85" s="1" t="s">
        <v>2</v>
      </c>
      <c r="R85" s="26">
        <v>141.1</v>
      </c>
      <c r="S85" s="24">
        <v>18.34</v>
      </c>
      <c r="T85" s="1" t="s">
        <v>2</v>
      </c>
      <c r="U85" s="1" t="s">
        <v>2</v>
      </c>
      <c r="V85" s="25">
        <f t="shared" si="16"/>
        <v>159.44</v>
      </c>
      <c r="W85" s="1" t="s">
        <v>1</v>
      </c>
      <c r="Y85" s="3">
        <f t="shared" si="17"/>
        <v>18.34</v>
      </c>
    </row>
    <row r="86" spans="1:25" x14ac:dyDescent="0.25">
      <c r="A86" s="1" t="s">
        <v>651</v>
      </c>
      <c r="B86" s="1" t="s">
        <v>652</v>
      </c>
      <c r="C86" s="5" t="str">
        <f t="shared" si="13"/>
        <v>03</v>
      </c>
      <c r="D86" s="5" t="str">
        <f t="shared" si="14"/>
        <v>05</v>
      </c>
      <c r="E86" s="4" t="s">
        <v>30</v>
      </c>
      <c r="F86" s="4" t="s">
        <v>31</v>
      </c>
      <c r="G86" s="22" t="str">
        <f t="shared" si="15"/>
        <v>03/05/2021</v>
      </c>
      <c r="H86" s="4" t="s">
        <v>1</v>
      </c>
      <c r="I86" s="4" t="s">
        <v>0</v>
      </c>
      <c r="J86" s="1" t="s">
        <v>216</v>
      </c>
      <c r="K86" s="1" t="s">
        <v>215</v>
      </c>
      <c r="L86" s="1">
        <v>279</v>
      </c>
      <c r="M86" s="1">
        <v>279</v>
      </c>
      <c r="N86" s="1" t="s">
        <v>239</v>
      </c>
      <c r="O86" s="24" t="str">
        <f>+VLOOKUP(N86,'base de clientes'!A:B,2,0)</f>
        <v>PINTURA Y ENDEREZADO S.A DE C.V.</v>
      </c>
      <c r="P86" s="1" t="s">
        <v>2</v>
      </c>
      <c r="Q86" s="1" t="s">
        <v>2</v>
      </c>
      <c r="R86" s="26">
        <v>148.04</v>
      </c>
      <c r="S86" s="24">
        <v>19.25</v>
      </c>
      <c r="T86" s="1" t="s">
        <v>2</v>
      </c>
      <c r="U86" s="1" t="s">
        <v>2</v>
      </c>
      <c r="V86" s="25">
        <f t="shared" si="16"/>
        <v>167.29</v>
      </c>
      <c r="W86" s="1" t="s">
        <v>1</v>
      </c>
      <c r="Y86" s="3">
        <f t="shared" si="17"/>
        <v>19.25</v>
      </c>
    </row>
    <row r="87" spans="1:25" x14ac:dyDescent="0.25">
      <c r="A87" s="1" t="s">
        <v>651</v>
      </c>
      <c r="B87" s="1" t="s">
        <v>652</v>
      </c>
      <c r="C87" s="5" t="str">
        <f t="shared" si="13"/>
        <v>03</v>
      </c>
      <c r="D87" s="5" t="str">
        <f t="shared" si="14"/>
        <v>05</v>
      </c>
      <c r="E87" s="4" t="s">
        <v>30</v>
      </c>
      <c r="F87" s="4" t="s">
        <v>31</v>
      </c>
      <c r="G87" s="22" t="str">
        <f t="shared" si="15"/>
        <v>03/05/2021</v>
      </c>
      <c r="H87" s="4" t="s">
        <v>1</v>
      </c>
      <c r="I87" s="4" t="s">
        <v>0</v>
      </c>
      <c r="J87" s="1" t="s">
        <v>216</v>
      </c>
      <c r="K87" s="1" t="s">
        <v>215</v>
      </c>
      <c r="L87" s="1">
        <v>280</v>
      </c>
      <c r="M87" s="1">
        <v>280</v>
      </c>
      <c r="N87" s="1" t="s">
        <v>237</v>
      </c>
      <c r="O87" s="24" t="str">
        <f>+VLOOKUP(N87,'base de clientes'!A:B,2,0)</f>
        <v>TALLER DIDEA, S.A. DE C.V.</v>
      </c>
      <c r="P87" s="1" t="s">
        <v>2</v>
      </c>
      <c r="Q87" s="1" t="s">
        <v>2</v>
      </c>
      <c r="R87" s="26">
        <v>377.6</v>
      </c>
      <c r="S87" s="24">
        <v>49.09</v>
      </c>
      <c r="T87" s="1" t="s">
        <v>2</v>
      </c>
      <c r="U87" s="1" t="s">
        <v>2</v>
      </c>
      <c r="V87" s="25">
        <f t="shared" si="16"/>
        <v>426.69000000000005</v>
      </c>
      <c r="W87" s="1" t="s">
        <v>1</v>
      </c>
      <c r="Y87" s="3">
        <f t="shared" si="17"/>
        <v>49.09</v>
      </c>
    </row>
    <row r="88" spans="1:25" x14ac:dyDescent="0.25">
      <c r="A88" s="1" t="s">
        <v>651</v>
      </c>
      <c r="B88" s="1" t="s">
        <v>652</v>
      </c>
      <c r="C88" s="5" t="str">
        <f t="shared" si="13"/>
        <v>03</v>
      </c>
      <c r="D88" s="5" t="str">
        <f t="shared" si="14"/>
        <v>05</v>
      </c>
      <c r="E88" s="4" t="s">
        <v>30</v>
      </c>
      <c r="F88" s="4" t="s">
        <v>31</v>
      </c>
      <c r="G88" s="22" t="str">
        <f t="shared" si="15"/>
        <v>03/05/2021</v>
      </c>
      <c r="H88" s="4" t="s">
        <v>1</v>
      </c>
      <c r="I88" s="4" t="s">
        <v>0</v>
      </c>
      <c r="J88" s="1" t="s">
        <v>216</v>
      </c>
      <c r="K88" s="1" t="s">
        <v>215</v>
      </c>
      <c r="L88" s="1">
        <v>281</v>
      </c>
      <c r="M88" s="1">
        <v>281</v>
      </c>
      <c r="N88" s="1" t="s">
        <v>252</v>
      </c>
      <c r="O88" s="24" t="str">
        <f>+VLOOKUP(N88,'base de clientes'!A:B,2,0)</f>
        <v>BANCO AGRICOLA, S.A.</v>
      </c>
      <c r="P88" s="1" t="s">
        <v>2</v>
      </c>
      <c r="Q88" s="1" t="s">
        <v>2</v>
      </c>
      <c r="R88" s="26">
        <v>152.65</v>
      </c>
      <c r="S88" s="24">
        <v>19.84</v>
      </c>
      <c r="T88" s="1" t="s">
        <v>2</v>
      </c>
      <c r="U88" s="1" t="s">
        <v>2</v>
      </c>
      <c r="V88" s="25">
        <f t="shared" si="16"/>
        <v>172.49</v>
      </c>
      <c r="W88" s="1" t="s">
        <v>1</v>
      </c>
      <c r="Y88" s="3">
        <f t="shared" si="17"/>
        <v>19.84</v>
      </c>
    </row>
    <row r="89" spans="1:25" x14ac:dyDescent="0.25">
      <c r="A89" s="1" t="s">
        <v>651</v>
      </c>
      <c r="B89" s="1" t="s">
        <v>652</v>
      </c>
      <c r="C89" s="5" t="str">
        <f t="shared" si="13"/>
        <v>03</v>
      </c>
      <c r="D89" s="5" t="str">
        <f t="shared" si="14"/>
        <v>05</v>
      </c>
      <c r="E89" s="4" t="s">
        <v>30</v>
      </c>
      <c r="F89" s="4" t="s">
        <v>31</v>
      </c>
      <c r="G89" s="22" t="str">
        <f t="shared" si="15"/>
        <v>03/05/2021</v>
      </c>
      <c r="H89" s="4" t="s">
        <v>1</v>
      </c>
      <c r="I89" s="4" t="s">
        <v>0</v>
      </c>
      <c r="J89" s="1" t="s">
        <v>216</v>
      </c>
      <c r="K89" s="1" t="s">
        <v>215</v>
      </c>
      <c r="L89" s="1">
        <v>282</v>
      </c>
      <c r="M89" s="1">
        <v>282</v>
      </c>
      <c r="N89" s="1" t="s">
        <v>252</v>
      </c>
      <c r="O89" s="24" t="str">
        <f>+VLOOKUP(N89,'base de clientes'!A:B,2,0)</f>
        <v>BANCO AGRICOLA, S.A.</v>
      </c>
      <c r="P89" s="1" t="s">
        <v>2</v>
      </c>
      <c r="Q89" s="1" t="s">
        <v>2</v>
      </c>
      <c r="R89" s="26">
        <v>152.65</v>
      </c>
      <c r="S89" s="24">
        <v>19.84</v>
      </c>
      <c r="T89" s="1" t="s">
        <v>2</v>
      </c>
      <c r="U89" s="1" t="s">
        <v>2</v>
      </c>
      <c r="V89" s="25">
        <f t="shared" si="16"/>
        <v>172.49</v>
      </c>
      <c r="W89" s="1" t="s">
        <v>1</v>
      </c>
      <c r="Y89" s="3">
        <f t="shared" si="17"/>
        <v>19.84</v>
      </c>
    </row>
    <row r="90" spans="1:25" x14ac:dyDescent="0.25">
      <c r="A90" s="1" t="s">
        <v>651</v>
      </c>
      <c r="B90" s="1" t="s">
        <v>652</v>
      </c>
      <c r="C90" s="5" t="str">
        <f t="shared" si="13"/>
        <v>03</v>
      </c>
      <c r="D90" s="5" t="str">
        <f t="shared" si="14"/>
        <v>05</v>
      </c>
      <c r="E90" s="4" t="s">
        <v>30</v>
      </c>
      <c r="F90" s="4" t="s">
        <v>31</v>
      </c>
      <c r="G90" s="22" t="str">
        <f t="shared" si="15"/>
        <v>03/05/2021</v>
      </c>
      <c r="H90" s="4" t="s">
        <v>1</v>
      </c>
      <c r="I90" s="4" t="s">
        <v>0</v>
      </c>
      <c r="J90" s="1" t="s">
        <v>216</v>
      </c>
      <c r="K90" s="1" t="s">
        <v>215</v>
      </c>
      <c r="L90" s="1">
        <v>283</v>
      </c>
      <c r="M90" s="1">
        <v>283</v>
      </c>
      <c r="N90" s="1" t="s">
        <v>252</v>
      </c>
      <c r="O90" s="24" t="str">
        <f>+VLOOKUP(N90,'base de clientes'!A:B,2,0)</f>
        <v>BANCO AGRICOLA, S.A.</v>
      </c>
      <c r="P90" s="1" t="s">
        <v>2</v>
      </c>
      <c r="Q90" s="1" t="s">
        <v>2</v>
      </c>
      <c r="R90" s="26">
        <v>357.36</v>
      </c>
      <c r="S90" s="24">
        <v>46.46</v>
      </c>
      <c r="T90" s="1" t="s">
        <v>2</v>
      </c>
      <c r="U90" s="1" t="s">
        <v>2</v>
      </c>
      <c r="V90" s="25">
        <f t="shared" si="16"/>
        <v>403.82</v>
      </c>
      <c r="W90" s="1" t="s">
        <v>1</v>
      </c>
      <c r="Y90" s="3">
        <f t="shared" si="17"/>
        <v>46.46</v>
      </c>
    </row>
    <row r="91" spans="1:25" x14ac:dyDescent="0.25">
      <c r="A91" s="1" t="s">
        <v>651</v>
      </c>
      <c r="B91" s="1" t="s">
        <v>655</v>
      </c>
      <c r="C91" s="5" t="str">
        <f t="shared" si="13"/>
        <v>06</v>
      </c>
      <c r="D91" s="5" t="str">
        <f t="shared" si="14"/>
        <v>05</v>
      </c>
      <c r="E91" s="4" t="s">
        <v>30</v>
      </c>
      <c r="F91" s="4" t="s">
        <v>31</v>
      </c>
      <c r="G91" s="22" t="str">
        <f t="shared" si="15"/>
        <v>06/05/2021</v>
      </c>
      <c r="H91" s="4" t="s">
        <v>1</v>
      </c>
      <c r="I91" s="4" t="s">
        <v>0</v>
      </c>
      <c r="J91" s="1" t="s">
        <v>216</v>
      </c>
      <c r="K91" s="1" t="s">
        <v>215</v>
      </c>
      <c r="L91" s="1">
        <v>284</v>
      </c>
      <c r="M91" s="1">
        <v>284</v>
      </c>
      <c r="N91" s="1" t="s">
        <v>217</v>
      </c>
      <c r="O91" s="24" t="str">
        <f>+VLOOKUP(N91,'base de clientes'!A:B,2,0)</f>
        <v>OPERADORA DEL SUR, S. A. DE C.V.</v>
      </c>
      <c r="P91" s="1" t="s">
        <v>2</v>
      </c>
      <c r="Q91" s="1" t="s">
        <v>2</v>
      </c>
      <c r="R91" s="26">
        <v>3350</v>
      </c>
      <c r="S91" s="24">
        <v>435.5</v>
      </c>
      <c r="T91" s="1" t="s">
        <v>2</v>
      </c>
      <c r="U91" s="1" t="s">
        <v>2</v>
      </c>
      <c r="V91" s="25">
        <f t="shared" si="16"/>
        <v>3785.5</v>
      </c>
      <c r="W91" s="1" t="s">
        <v>1</v>
      </c>
      <c r="Y91" s="3">
        <f t="shared" si="17"/>
        <v>435.5</v>
      </c>
    </row>
    <row r="92" spans="1:25" x14ac:dyDescent="0.25">
      <c r="A92" s="1" t="s">
        <v>651</v>
      </c>
      <c r="B92" s="1" t="s">
        <v>655</v>
      </c>
      <c r="C92" s="5" t="str">
        <f t="shared" si="13"/>
        <v>06</v>
      </c>
      <c r="D92" s="5" t="str">
        <f t="shared" si="14"/>
        <v>05</v>
      </c>
      <c r="E92" s="4" t="s">
        <v>30</v>
      </c>
      <c r="F92" s="4" t="s">
        <v>31</v>
      </c>
      <c r="G92" s="22" t="str">
        <f t="shared" si="15"/>
        <v>06/05/2021</v>
      </c>
      <c r="H92" s="4" t="s">
        <v>1</v>
      </c>
      <c r="I92" s="4" t="s">
        <v>0</v>
      </c>
      <c r="J92" s="1" t="s">
        <v>216</v>
      </c>
      <c r="K92" s="1" t="s">
        <v>215</v>
      </c>
      <c r="L92" s="1">
        <v>285</v>
      </c>
      <c r="M92" s="1">
        <v>285</v>
      </c>
      <c r="N92" s="1" t="s">
        <v>217</v>
      </c>
      <c r="O92" s="24" t="str">
        <f>+VLOOKUP(N92,'base de clientes'!A:B,2,0)</f>
        <v>OPERADORA DEL SUR, S. A. DE C.V.</v>
      </c>
      <c r="P92" s="1" t="s">
        <v>2</v>
      </c>
      <c r="Q92" s="1" t="s">
        <v>2</v>
      </c>
      <c r="R92" s="26">
        <v>3350</v>
      </c>
      <c r="S92" s="24">
        <v>435.5</v>
      </c>
      <c r="T92" s="1" t="s">
        <v>2</v>
      </c>
      <c r="U92" s="1" t="s">
        <v>2</v>
      </c>
      <c r="V92" s="25">
        <f t="shared" si="16"/>
        <v>3785.5</v>
      </c>
      <c r="W92" s="1" t="s">
        <v>1</v>
      </c>
      <c r="Y92" s="3">
        <f t="shared" si="17"/>
        <v>435.5</v>
      </c>
    </row>
    <row r="93" spans="1:25" hidden="1" x14ac:dyDescent="0.25">
      <c r="A93" s="1" t="s">
        <v>651</v>
      </c>
      <c r="B93" s="1" t="s">
        <v>655</v>
      </c>
      <c r="C93" s="5" t="str">
        <f t="shared" si="13"/>
        <v>06</v>
      </c>
      <c r="D93" s="5" t="str">
        <f t="shared" si="14"/>
        <v>05</v>
      </c>
      <c r="E93" s="4" t="s">
        <v>30</v>
      </c>
      <c r="F93" s="4" t="s">
        <v>31</v>
      </c>
      <c r="G93" s="22" t="str">
        <f t="shared" si="15"/>
        <v>06/05/2021</v>
      </c>
      <c r="H93" s="4" t="s">
        <v>1</v>
      </c>
      <c r="I93" s="4" t="s">
        <v>0</v>
      </c>
      <c r="J93" s="1" t="s">
        <v>216</v>
      </c>
      <c r="K93" s="1" t="s">
        <v>215</v>
      </c>
      <c r="L93" s="1">
        <v>286</v>
      </c>
      <c r="M93" s="1">
        <v>286</v>
      </c>
      <c r="N93" s="1" t="s">
        <v>256</v>
      </c>
      <c r="O93" s="24" t="str">
        <f>+VLOOKUP(N93,'base de clientes'!A:B,2,0)</f>
        <v>ANULADO</v>
      </c>
      <c r="P93" s="1" t="s">
        <v>2</v>
      </c>
      <c r="Q93" s="1" t="s">
        <v>2</v>
      </c>
      <c r="R93" s="26">
        <v>0</v>
      </c>
      <c r="S93" s="24">
        <v>0</v>
      </c>
      <c r="T93" s="1" t="s">
        <v>2</v>
      </c>
      <c r="U93" s="1" t="s">
        <v>2</v>
      </c>
      <c r="V93" s="25">
        <f t="shared" si="16"/>
        <v>0</v>
      </c>
      <c r="W93" s="1" t="s">
        <v>1</v>
      </c>
      <c r="Y93" s="3">
        <f t="shared" si="17"/>
        <v>0</v>
      </c>
    </row>
    <row r="94" spans="1:25" x14ac:dyDescent="0.25">
      <c r="A94" s="1" t="s">
        <v>651</v>
      </c>
      <c r="B94" s="1" t="s">
        <v>655</v>
      </c>
      <c r="C94" s="5" t="str">
        <f t="shared" si="13"/>
        <v>06</v>
      </c>
      <c r="D94" s="5" t="str">
        <f t="shared" si="14"/>
        <v>05</v>
      </c>
      <c r="E94" s="4" t="s">
        <v>30</v>
      </c>
      <c r="F94" s="4" t="s">
        <v>31</v>
      </c>
      <c r="G94" s="22" t="str">
        <f t="shared" si="15"/>
        <v>06/05/2021</v>
      </c>
      <c r="H94" s="4" t="s">
        <v>1</v>
      </c>
      <c r="I94" s="4" t="s">
        <v>0</v>
      </c>
      <c r="J94" s="1" t="s">
        <v>216</v>
      </c>
      <c r="K94" s="1" t="s">
        <v>215</v>
      </c>
      <c r="L94" s="1">
        <v>287</v>
      </c>
      <c r="M94" s="1">
        <v>287</v>
      </c>
      <c r="N94" s="1" t="s">
        <v>217</v>
      </c>
      <c r="O94" s="24" t="str">
        <f>+VLOOKUP(N94,'base de clientes'!A:B,2,0)</f>
        <v>OPERADORA DEL SUR, S. A. DE C.V.</v>
      </c>
      <c r="P94" s="1" t="s">
        <v>2</v>
      </c>
      <c r="Q94" s="1" t="s">
        <v>2</v>
      </c>
      <c r="R94" s="26">
        <v>682.85</v>
      </c>
      <c r="S94" s="24">
        <v>88.77</v>
      </c>
      <c r="T94" s="1" t="s">
        <v>2</v>
      </c>
      <c r="U94" s="1" t="s">
        <v>2</v>
      </c>
      <c r="V94" s="25">
        <f t="shared" si="16"/>
        <v>771.62</v>
      </c>
      <c r="W94" s="1" t="s">
        <v>1</v>
      </c>
      <c r="Y94" s="3">
        <f t="shared" si="17"/>
        <v>88.77</v>
      </c>
    </row>
    <row r="95" spans="1:25" x14ac:dyDescent="0.25">
      <c r="A95" s="1" t="s">
        <v>651</v>
      </c>
      <c r="B95" s="1" t="s">
        <v>655</v>
      </c>
      <c r="C95" s="5" t="str">
        <f t="shared" si="13"/>
        <v>06</v>
      </c>
      <c r="D95" s="5" t="str">
        <f t="shared" si="14"/>
        <v>05</v>
      </c>
      <c r="E95" s="4" t="s">
        <v>30</v>
      </c>
      <c r="F95" s="4" t="s">
        <v>31</v>
      </c>
      <c r="G95" s="22" t="str">
        <f t="shared" si="15"/>
        <v>06/05/2021</v>
      </c>
      <c r="H95" s="4" t="s">
        <v>1</v>
      </c>
      <c r="I95" s="4" t="s">
        <v>0</v>
      </c>
      <c r="J95" s="1" t="s">
        <v>216</v>
      </c>
      <c r="K95" s="1" t="s">
        <v>215</v>
      </c>
      <c r="L95" s="1">
        <v>288</v>
      </c>
      <c r="M95" s="1">
        <v>288</v>
      </c>
      <c r="N95" s="1" t="s">
        <v>217</v>
      </c>
      <c r="O95" s="24" t="str">
        <f>+VLOOKUP(N95,'base de clientes'!A:B,2,0)</f>
        <v>OPERADORA DEL SUR, S. A. DE C.V.</v>
      </c>
      <c r="P95" s="1" t="s">
        <v>2</v>
      </c>
      <c r="Q95" s="1" t="s">
        <v>2</v>
      </c>
      <c r="R95" s="26">
        <v>1100</v>
      </c>
      <c r="S95" s="24">
        <v>143</v>
      </c>
      <c r="T95" s="1" t="s">
        <v>2</v>
      </c>
      <c r="U95" s="1" t="s">
        <v>2</v>
      </c>
      <c r="V95" s="25">
        <f t="shared" si="16"/>
        <v>1243</v>
      </c>
      <c r="W95" s="1" t="s">
        <v>1</v>
      </c>
      <c r="Y95" s="3">
        <f t="shared" si="17"/>
        <v>143</v>
      </c>
    </row>
    <row r="96" spans="1:25" x14ac:dyDescent="0.25">
      <c r="A96" s="1" t="s">
        <v>651</v>
      </c>
      <c r="B96" s="1" t="s">
        <v>655</v>
      </c>
      <c r="C96" s="5" t="str">
        <f t="shared" si="13"/>
        <v>06</v>
      </c>
      <c r="D96" s="5" t="str">
        <f t="shared" si="14"/>
        <v>05</v>
      </c>
      <c r="E96" s="4" t="s">
        <v>30</v>
      </c>
      <c r="F96" s="4" t="s">
        <v>31</v>
      </c>
      <c r="G96" s="22" t="str">
        <f t="shared" si="15"/>
        <v>06/05/2021</v>
      </c>
      <c r="H96" s="4" t="s">
        <v>1</v>
      </c>
      <c r="I96" s="4" t="s">
        <v>0</v>
      </c>
      <c r="J96" s="1" t="s">
        <v>216</v>
      </c>
      <c r="K96" s="1" t="s">
        <v>215</v>
      </c>
      <c r="L96" s="1">
        <v>289</v>
      </c>
      <c r="M96" s="1">
        <v>289</v>
      </c>
      <c r="N96" s="1" t="s">
        <v>217</v>
      </c>
      <c r="O96" s="24" t="str">
        <f>+VLOOKUP(N96,'base de clientes'!A:B,2,0)</f>
        <v>OPERADORA DEL SUR, S. A. DE C.V.</v>
      </c>
      <c r="P96" s="1" t="s">
        <v>2</v>
      </c>
      <c r="Q96" s="1" t="s">
        <v>2</v>
      </c>
      <c r="R96" s="26">
        <v>2250</v>
      </c>
      <c r="S96" s="24">
        <v>292.5</v>
      </c>
      <c r="T96" s="1" t="s">
        <v>2</v>
      </c>
      <c r="U96" s="1" t="s">
        <v>2</v>
      </c>
      <c r="V96" s="25">
        <f t="shared" si="16"/>
        <v>2542.5</v>
      </c>
      <c r="W96" s="1" t="s">
        <v>1</v>
      </c>
      <c r="Y96" s="3">
        <f t="shared" si="17"/>
        <v>292.5</v>
      </c>
    </row>
    <row r="97" spans="1:25" x14ac:dyDescent="0.25">
      <c r="A97" s="1" t="s">
        <v>651</v>
      </c>
      <c r="B97" s="1" t="s">
        <v>655</v>
      </c>
      <c r="C97" s="5" t="str">
        <f t="shared" si="13"/>
        <v>06</v>
      </c>
      <c r="D97" s="5" t="str">
        <f t="shared" si="14"/>
        <v>05</v>
      </c>
      <c r="E97" s="4" t="s">
        <v>30</v>
      </c>
      <c r="F97" s="4" t="s">
        <v>31</v>
      </c>
      <c r="G97" s="22" t="str">
        <f t="shared" si="15"/>
        <v>06/05/2021</v>
      </c>
      <c r="H97" s="4" t="s">
        <v>1</v>
      </c>
      <c r="I97" s="4" t="s">
        <v>0</v>
      </c>
      <c r="J97" s="1" t="s">
        <v>216</v>
      </c>
      <c r="K97" s="1" t="s">
        <v>215</v>
      </c>
      <c r="L97" s="1">
        <v>290</v>
      </c>
      <c r="M97" s="1">
        <v>290</v>
      </c>
      <c r="N97" s="1" t="s">
        <v>217</v>
      </c>
      <c r="O97" s="24" t="str">
        <f>+VLOOKUP(N97,'base de clientes'!A:B,2,0)</f>
        <v>OPERADORA DEL SUR, S. A. DE C.V.</v>
      </c>
      <c r="P97" s="1" t="s">
        <v>2</v>
      </c>
      <c r="Q97" s="1" t="s">
        <v>2</v>
      </c>
      <c r="R97" s="26">
        <v>446.44</v>
      </c>
      <c r="S97" s="24">
        <v>58.04</v>
      </c>
      <c r="T97" s="1" t="s">
        <v>2</v>
      </c>
      <c r="U97" s="1" t="s">
        <v>2</v>
      </c>
      <c r="V97" s="25">
        <f t="shared" si="16"/>
        <v>504.48</v>
      </c>
      <c r="W97" s="1" t="s">
        <v>1</v>
      </c>
      <c r="Y97" s="3">
        <f t="shared" si="17"/>
        <v>58.04</v>
      </c>
    </row>
    <row r="98" spans="1:25" x14ac:dyDescent="0.25">
      <c r="A98" s="1" t="s">
        <v>651</v>
      </c>
      <c r="B98" s="1" t="s">
        <v>655</v>
      </c>
      <c r="C98" s="5" t="str">
        <f t="shared" si="13"/>
        <v>06</v>
      </c>
      <c r="D98" s="5" t="str">
        <f t="shared" si="14"/>
        <v>05</v>
      </c>
      <c r="E98" s="4" t="s">
        <v>30</v>
      </c>
      <c r="F98" s="4" t="s">
        <v>31</v>
      </c>
      <c r="G98" s="22" t="str">
        <f t="shared" si="15"/>
        <v>06/05/2021</v>
      </c>
      <c r="H98" s="4" t="s">
        <v>1</v>
      </c>
      <c r="I98" s="4" t="s">
        <v>0</v>
      </c>
      <c r="J98" s="1" t="s">
        <v>216</v>
      </c>
      <c r="K98" s="1" t="s">
        <v>215</v>
      </c>
      <c r="L98" s="1">
        <v>291</v>
      </c>
      <c r="M98" s="1">
        <v>291</v>
      </c>
      <c r="N98" s="1" t="s">
        <v>217</v>
      </c>
      <c r="O98" s="24" t="str">
        <f>+VLOOKUP(N98,'base de clientes'!A:B,2,0)</f>
        <v>OPERADORA DEL SUR, S. A. DE C.V.</v>
      </c>
      <c r="P98" s="1" t="s">
        <v>2</v>
      </c>
      <c r="Q98" s="1" t="s">
        <v>2</v>
      </c>
      <c r="R98" s="26">
        <v>474.24</v>
      </c>
      <c r="S98" s="24">
        <v>61.65</v>
      </c>
      <c r="T98" s="1" t="s">
        <v>2</v>
      </c>
      <c r="U98" s="1" t="s">
        <v>2</v>
      </c>
      <c r="V98" s="25">
        <f t="shared" si="16"/>
        <v>535.89</v>
      </c>
      <c r="W98" s="1" t="s">
        <v>1</v>
      </c>
      <c r="Y98" s="3">
        <f t="shared" si="17"/>
        <v>61.65</v>
      </c>
    </row>
    <row r="99" spans="1:25" x14ac:dyDescent="0.25">
      <c r="A99" s="1" t="s">
        <v>651</v>
      </c>
      <c r="B99" s="1" t="s">
        <v>655</v>
      </c>
      <c r="C99" s="5" t="str">
        <f t="shared" si="13"/>
        <v>06</v>
      </c>
      <c r="D99" s="5" t="str">
        <f t="shared" si="14"/>
        <v>05</v>
      </c>
      <c r="E99" s="4" t="s">
        <v>30</v>
      </c>
      <c r="F99" s="4" t="s">
        <v>31</v>
      </c>
      <c r="G99" s="22" t="str">
        <f t="shared" si="15"/>
        <v>06/05/2021</v>
      </c>
      <c r="H99" s="4" t="s">
        <v>1</v>
      </c>
      <c r="I99" s="4" t="s">
        <v>0</v>
      </c>
      <c r="J99" s="1" t="s">
        <v>216</v>
      </c>
      <c r="K99" s="1" t="s">
        <v>215</v>
      </c>
      <c r="L99" s="1">
        <v>292</v>
      </c>
      <c r="M99" s="1">
        <v>292</v>
      </c>
      <c r="N99" s="1" t="s">
        <v>217</v>
      </c>
      <c r="O99" s="24" t="str">
        <f>+VLOOKUP(N99,'base de clientes'!A:B,2,0)</f>
        <v>OPERADORA DEL SUR, S. A. DE C.V.</v>
      </c>
      <c r="P99" s="1" t="s">
        <v>2</v>
      </c>
      <c r="Q99" s="1" t="s">
        <v>2</v>
      </c>
      <c r="R99" s="26">
        <v>370.18</v>
      </c>
      <c r="S99" s="24">
        <v>48.12</v>
      </c>
      <c r="T99" s="1" t="s">
        <v>2</v>
      </c>
      <c r="U99" s="1" t="s">
        <v>2</v>
      </c>
      <c r="V99" s="25">
        <f t="shared" si="16"/>
        <v>418.3</v>
      </c>
      <c r="W99" s="1" t="s">
        <v>1</v>
      </c>
      <c r="Y99" s="3">
        <f t="shared" si="17"/>
        <v>48.12</v>
      </c>
    </row>
    <row r="100" spans="1:25" x14ac:dyDescent="0.25">
      <c r="A100" s="1" t="s">
        <v>651</v>
      </c>
      <c r="B100" s="1" t="s">
        <v>655</v>
      </c>
      <c r="C100" s="5" t="str">
        <f t="shared" si="13"/>
        <v>06</v>
      </c>
      <c r="D100" s="5" t="str">
        <f t="shared" si="14"/>
        <v>05</v>
      </c>
      <c r="E100" s="4" t="s">
        <v>30</v>
      </c>
      <c r="F100" s="4" t="s">
        <v>31</v>
      </c>
      <c r="G100" s="22" t="str">
        <f t="shared" si="15"/>
        <v>06/05/2021</v>
      </c>
      <c r="H100" s="4" t="s">
        <v>1</v>
      </c>
      <c r="I100" s="4" t="s">
        <v>0</v>
      </c>
      <c r="J100" s="1" t="s">
        <v>216</v>
      </c>
      <c r="K100" s="1" t="s">
        <v>215</v>
      </c>
      <c r="L100" s="1">
        <v>293</v>
      </c>
      <c r="M100" s="1">
        <v>293</v>
      </c>
      <c r="N100" s="1" t="s">
        <v>217</v>
      </c>
      <c r="O100" s="24" t="str">
        <f>+VLOOKUP(N100,'base de clientes'!A:B,2,0)</f>
        <v>OPERADORA DEL SUR, S. A. DE C.V.</v>
      </c>
      <c r="P100" s="1" t="s">
        <v>2</v>
      </c>
      <c r="Q100" s="1" t="s">
        <v>2</v>
      </c>
      <c r="R100" s="26">
        <v>140.4</v>
      </c>
      <c r="S100" s="24">
        <v>18.25</v>
      </c>
      <c r="T100" s="1" t="s">
        <v>2</v>
      </c>
      <c r="U100" s="1" t="s">
        <v>2</v>
      </c>
      <c r="V100" s="25">
        <f t="shared" si="16"/>
        <v>158.65</v>
      </c>
      <c r="W100" s="1" t="s">
        <v>1</v>
      </c>
      <c r="Y100" s="3">
        <f t="shared" si="17"/>
        <v>18.25</v>
      </c>
    </row>
    <row r="101" spans="1:25" x14ac:dyDescent="0.25">
      <c r="A101" s="1" t="s">
        <v>651</v>
      </c>
      <c r="B101" s="1" t="s">
        <v>656</v>
      </c>
      <c r="C101" s="5" t="str">
        <f t="shared" si="13"/>
        <v>11</v>
      </c>
      <c r="D101" s="5" t="str">
        <f t="shared" si="14"/>
        <v>05</v>
      </c>
      <c r="E101" s="4" t="s">
        <v>30</v>
      </c>
      <c r="F101" s="4" t="s">
        <v>31</v>
      </c>
      <c r="G101" s="22" t="str">
        <f t="shared" si="15"/>
        <v>11/05/2021</v>
      </c>
      <c r="H101" s="4" t="s">
        <v>1</v>
      </c>
      <c r="I101" s="4" t="s">
        <v>0</v>
      </c>
      <c r="J101" s="1" t="s">
        <v>216</v>
      </c>
      <c r="K101" s="1" t="s">
        <v>215</v>
      </c>
      <c r="L101" s="1">
        <v>294</v>
      </c>
      <c r="M101" s="1">
        <v>294</v>
      </c>
      <c r="N101" s="1" t="s">
        <v>648</v>
      </c>
      <c r="O101" s="24" t="str">
        <f>+VLOOKUP(N101,'base de clientes'!A:B,2,0)</f>
        <v>BOMBOM S.A DE C.V.</v>
      </c>
      <c r="P101" s="1" t="s">
        <v>2</v>
      </c>
      <c r="Q101" s="1" t="s">
        <v>2</v>
      </c>
      <c r="R101" s="26">
        <v>179</v>
      </c>
      <c r="S101" s="24">
        <v>23.27</v>
      </c>
      <c r="T101" s="1" t="s">
        <v>2</v>
      </c>
      <c r="U101" s="1" t="s">
        <v>2</v>
      </c>
      <c r="V101" s="25">
        <f t="shared" si="16"/>
        <v>202.27</v>
      </c>
      <c r="W101" s="1" t="s">
        <v>1</v>
      </c>
      <c r="Y101" s="3">
        <f t="shared" si="17"/>
        <v>23.27</v>
      </c>
    </row>
    <row r="102" spans="1:25" x14ac:dyDescent="0.25">
      <c r="A102" s="1" t="s">
        <v>651</v>
      </c>
      <c r="B102" s="1" t="s">
        <v>656</v>
      </c>
      <c r="C102" s="5" t="str">
        <f t="shared" si="13"/>
        <v>11</v>
      </c>
      <c r="D102" s="5" t="str">
        <f t="shared" si="14"/>
        <v>05</v>
      </c>
      <c r="E102" s="4" t="s">
        <v>30</v>
      </c>
      <c r="F102" s="4" t="s">
        <v>31</v>
      </c>
      <c r="G102" s="22" t="str">
        <f t="shared" si="15"/>
        <v>11/05/2021</v>
      </c>
      <c r="H102" s="4" t="s">
        <v>1</v>
      </c>
      <c r="I102" s="4" t="s">
        <v>0</v>
      </c>
      <c r="J102" s="1" t="s">
        <v>216</v>
      </c>
      <c r="K102" s="1" t="s">
        <v>215</v>
      </c>
      <c r="L102" s="1">
        <v>295</v>
      </c>
      <c r="M102" s="1">
        <v>295</v>
      </c>
      <c r="N102" s="1" t="s">
        <v>233</v>
      </c>
      <c r="O102" s="24" t="str">
        <f>+VLOOKUP(N102,'base de clientes'!A:B,2,0)</f>
        <v>SUPER REPUESTOS EL SALVADOR S.A DE C.V.</v>
      </c>
      <c r="P102" s="1" t="s">
        <v>2</v>
      </c>
      <c r="Q102" s="1" t="s">
        <v>2</v>
      </c>
      <c r="R102" s="26">
        <v>255</v>
      </c>
      <c r="S102" s="24">
        <v>33.15</v>
      </c>
      <c r="T102" s="1" t="s">
        <v>2</v>
      </c>
      <c r="U102" s="1" t="s">
        <v>2</v>
      </c>
      <c r="V102" s="25">
        <f t="shared" si="16"/>
        <v>288.14999999999998</v>
      </c>
      <c r="W102" s="1" t="s">
        <v>1</v>
      </c>
      <c r="Y102" s="3">
        <f t="shared" si="17"/>
        <v>33.15</v>
      </c>
    </row>
    <row r="103" spans="1:25" x14ac:dyDescent="0.25">
      <c r="A103" s="1" t="s">
        <v>651</v>
      </c>
      <c r="B103" s="1" t="s">
        <v>656</v>
      </c>
      <c r="C103" s="5" t="str">
        <f t="shared" si="13"/>
        <v>11</v>
      </c>
      <c r="D103" s="5" t="str">
        <f t="shared" si="14"/>
        <v>05</v>
      </c>
      <c r="E103" s="4" t="s">
        <v>30</v>
      </c>
      <c r="F103" s="4" t="s">
        <v>31</v>
      </c>
      <c r="G103" s="22" t="str">
        <f t="shared" si="15"/>
        <v>11/05/2021</v>
      </c>
      <c r="H103" s="4" t="s">
        <v>1</v>
      </c>
      <c r="I103" s="4" t="s">
        <v>0</v>
      </c>
      <c r="J103" s="1" t="s">
        <v>216</v>
      </c>
      <c r="K103" s="1" t="s">
        <v>215</v>
      </c>
      <c r="L103" s="1">
        <v>296</v>
      </c>
      <c r="M103" s="1">
        <v>296</v>
      </c>
      <c r="N103" s="1" t="s">
        <v>247</v>
      </c>
      <c r="O103" s="24" t="str">
        <f>+VLOOKUP(N103,'base de clientes'!A:B,2,0)</f>
        <v>HOTELES S.A DE C.V.</v>
      </c>
      <c r="P103" s="1" t="s">
        <v>2</v>
      </c>
      <c r="Q103" s="1" t="s">
        <v>2</v>
      </c>
      <c r="R103" s="26">
        <v>840</v>
      </c>
      <c r="S103" s="24">
        <v>109.2</v>
      </c>
      <c r="T103" s="1" t="s">
        <v>2</v>
      </c>
      <c r="U103" s="1" t="s">
        <v>2</v>
      </c>
      <c r="V103" s="25">
        <f t="shared" si="16"/>
        <v>949.2</v>
      </c>
      <c r="W103" s="1" t="s">
        <v>1</v>
      </c>
      <c r="Y103" s="3">
        <f t="shared" si="17"/>
        <v>109.2</v>
      </c>
    </row>
    <row r="104" spans="1:25" hidden="1" x14ac:dyDescent="0.25">
      <c r="A104" s="1" t="s">
        <v>651</v>
      </c>
      <c r="B104" s="1" t="s">
        <v>656</v>
      </c>
      <c r="C104" s="5" t="str">
        <f t="shared" si="13"/>
        <v>11</v>
      </c>
      <c r="D104" s="5" t="str">
        <f t="shared" si="14"/>
        <v>05</v>
      </c>
      <c r="E104" s="4" t="s">
        <v>30</v>
      </c>
      <c r="F104" s="4" t="s">
        <v>31</v>
      </c>
      <c r="G104" s="22" t="str">
        <f t="shared" si="15"/>
        <v>11/05/2021</v>
      </c>
      <c r="H104" s="4" t="s">
        <v>1</v>
      </c>
      <c r="I104" s="4" t="s">
        <v>0</v>
      </c>
      <c r="J104" s="1" t="s">
        <v>216</v>
      </c>
      <c r="K104" s="1" t="s">
        <v>215</v>
      </c>
      <c r="L104" s="1">
        <v>297</v>
      </c>
      <c r="M104" s="1">
        <v>297</v>
      </c>
      <c r="N104" s="1" t="s">
        <v>256</v>
      </c>
      <c r="O104" s="24" t="str">
        <f>+VLOOKUP(N104,'base de clientes'!A:B,2,0)</f>
        <v>ANULADO</v>
      </c>
      <c r="P104" s="1" t="s">
        <v>2</v>
      </c>
      <c r="Q104" s="1" t="s">
        <v>2</v>
      </c>
      <c r="R104" s="26">
        <v>0</v>
      </c>
      <c r="S104" s="24">
        <v>0</v>
      </c>
      <c r="T104" s="1" t="s">
        <v>2</v>
      </c>
      <c r="U104" s="1" t="s">
        <v>2</v>
      </c>
      <c r="V104" s="25">
        <f t="shared" si="16"/>
        <v>0</v>
      </c>
      <c r="W104" s="1" t="s">
        <v>1</v>
      </c>
      <c r="Y104" s="3">
        <f t="shared" si="17"/>
        <v>0</v>
      </c>
    </row>
    <row r="105" spans="1:25" x14ac:dyDescent="0.25">
      <c r="A105" s="1" t="s">
        <v>651</v>
      </c>
      <c r="B105" s="1" t="s">
        <v>656</v>
      </c>
      <c r="C105" s="5" t="str">
        <f t="shared" si="13"/>
        <v>11</v>
      </c>
      <c r="D105" s="5" t="str">
        <f t="shared" si="14"/>
        <v>05</v>
      </c>
      <c r="E105" s="4" t="s">
        <v>30</v>
      </c>
      <c r="F105" s="4" t="s">
        <v>31</v>
      </c>
      <c r="G105" s="22" t="str">
        <f t="shared" si="15"/>
        <v>11/05/2021</v>
      </c>
      <c r="H105" s="4" t="s">
        <v>1</v>
      </c>
      <c r="I105" s="4" t="s">
        <v>0</v>
      </c>
      <c r="J105" s="1" t="s">
        <v>216</v>
      </c>
      <c r="K105" s="1" t="s">
        <v>215</v>
      </c>
      <c r="L105" s="1">
        <v>298</v>
      </c>
      <c r="M105" s="1">
        <v>298</v>
      </c>
      <c r="N105" s="1" t="s">
        <v>650</v>
      </c>
      <c r="O105" s="24" t="str">
        <f>+VLOOKUP(N105,'base de clientes'!A:B,2,0)</f>
        <v>ESTABLECIMIENTOS ANCALMO, S.A DE C.V</v>
      </c>
      <c r="P105" s="1" t="s">
        <v>2</v>
      </c>
      <c r="Q105" s="1" t="s">
        <v>2</v>
      </c>
      <c r="R105" s="26">
        <v>143.63999999999999</v>
      </c>
      <c r="S105" s="24">
        <v>18.670000000000002</v>
      </c>
      <c r="T105" s="1" t="s">
        <v>2</v>
      </c>
      <c r="U105" s="1" t="s">
        <v>2</v>
      </c>
      <c r="V105" s="25">
        <f t="shared" si="16"/>
        <v>162.31</v>
      </c>
      <c r="W105" s="1" t="s">
        <v>1</v>
      </c>
      <c r="Y105" s="3">
        <f t="shared" si="17"/>
        <v>18.670000000000002</v>
      </c>
    </row>
    <row r="106" spans="1:25" x14ac:dyDescent="0.25">
      <c r="A106" s="1" t="s">
        <v>651</v>
      </c>
      <c r="B106" s="1" t="s">
        <v>656</v>
      </c>
      <c r="C106" s="5" t="str">
        <f t="shared" si="13"/>
        <v>11</v>
      </c>
      <c r="D106" s="5" t="str">
        <f t="shared" si="14"/>
        <v>05</v>
      </c>
      <c r="E106" s="4" t="s">
        <v>30</v>
      </c>
      <c r="F106" s="4" t="s">
        <v>31</v>
      </c>
      <c r="G106" s="22" t="str">
        <f t="shared" si="15"/>
        <v>11/05/2021</v>
      </c>
      <c r="H106" s="4" t="s">
        <v>1</v>
      </c>
      <c r="I106" s="4" t="s">
        <v>0</v>
      </c>
      <c r="J106" s="1" t="s">
        <v>216</v>
      </c>
      <c r="K106" s="1" t="s">
        <v>215</v>
      </c>
      <c r="L106" s="1">
        <v>299</v>
      </c>
      <c r="M106" s="1">
        <v>299</v>
      </c>
      <c r="N106" s="1" t="s">
        <v>235</v>
      </c>
      <c r="O106" s="24" t="str">
        <f>+VLOOKUP(N106,'base de clientes'!A:B,2,0)</f>
        <v>UNILEVER EL SALVADOR SCC S.A DE C.V.</v>
      </c>
      <c r="P106" s="1" t="s">
        <v>2</v>
      </c>
      <c r="Q106" s="1" t="s">
        <v>2</v>
      </c>
      <c r="R106" s="26">
        <v>1175.42</v>
      </c>
      <c r="S106" s="24">
        <v>152.80000000000001</v>
      </c>
      <c r="T106" s="1" t="s">
        <v>2</v>
      </c>
      <c r="U106" s="1" t="s">
        <v>2</v>
      </c>
      <c r="V106" s="25">
        <f t="shared" si="16"/>
        <v>1328.22</v>
      </c>
      <c r="W106" s="1" t="s">
        <v>1</v>
      </c>
      <c r="Y106" s="3">
        <f t="shared" si="17"/>
        <v>152.80000000000001</v>
      </c>
    </row>
    <row r="107" spans="1:25" hidden="1" x14ac:dyDescent="0.25">
      <c r="A107" s="1" t="s">
        <v>651</v>
      </c>
      <c r="B107" s="1" t="s">
        <v>618</v>
      </c>
      <c r="C107" s="5" t="str">
        <f t="shared" si="13"/>
        <v>14</v>
      </c>
      <c r="D107" s="5" t="str">
        <f t="shared" si="14"/>
        <v>05</v>
      </c>
      <c r="E107" s="4" t="s">
        <v>30</v>
      </c>
      <c r="F107" s="4" t="s">
        <v>31</v>
      </c>
      <c r="G107" s="22" t="str">
        <f t="shared" si="15"/>
        <v>14/05/2021</v>
      </c>
      <c r="H107" s="4" t="s">
        <v>1</v>
      </c>
      <c r="I107" s="4" t="s">
        <v>0</v>
      </c>
      <c r="J107" s="1" t="s">
        <v>216</v>
      </c>
      <c r="K107" s="1" t="s">
        <v>215</v>
      </c>
      <c r="L107" s="1">
        <v>300</v>
      </c>
      <c r="M107" s="1">
        <v>300</v>
      </c>
      <c r="N107" s="1" t="s">
        <v>256</v>
      </c>
      <c r="O107" s="24" t="str">
        <f>+VLOOKUP(N107,'base de clientes'!A:B,2,0)</f>
        <v>ANULADO</v>
      </c>
      <c r="P107" s="1" t="s">
        <v>2</v>
      </c>
      <c r="Q107" s="1" t="s">
        <v>2</v>
      </c>
      <c r="R107" s="26">
        <v>0</v>
      </c>
      <c r="S107" s="24">
        <v>0</v>
      </c>
      <c r="T107" s="1" t="s">
        <v>2</v>
      </c>
      <c r="U107" s="1" t="s">
        <v>2</v>
      </c>
      <c r="V107" s="25">
        <f t="shared" si="16"/>
        <v>0</v>
      </c>
      <c r="W107" s="1" t="s">
        <v>1</v>
      </c>
      <c r="Y107" s="3">
        <f t="shared" si="17"/>
        <v>0</v>
      </c>
    </row>
    <row r="108" spans="1:25" hidden="1" x14ac:dyDescent="0.25">
      <c r="A108" s="1" t="s">
        <v>651</v>
      </c>
      <c r="B108" s="1" t="s">
        <v>618</v>
      </c>
      <c r="C108" s="5" t="str">
        <f t="shared" si="13"/>
        <v>14</v>
      </c>
      <c r="D108" s="5" t="str">
        <f t="shared" si="14"/>
        <v>05</v>
      </c>
      <c r="E108" s="4" t="s">
        <v>30</v>
      </c>
      <c r="F108" s="4" t="s">
        <v>31</v>
      </c>
      <c r="G108" s="22" t="str">
        <f t="shared" si="15"/>
        <v>14/05/2021</v>
      </c>
      <c r="H108" s="4" t="s">
        <v>1</v>
      </c>
      <c r="I108" s="4" t="s">
        <v>0</v>
      </c>
      <c r="J108" s="1" t="s">
        <v>216</v>
      </c>
      <c r="K108" s="1" t="s">
        <v>215</v>
      </c>
      <c r="L108" s="1">
        <v>301</v>
      </c>
      <c r="M108" s="1">
        <v>301</v>
      </c>
      <c r="N108" s="1" t="s">
        <v>256</v>
      </c>
      <c r="O108" s="24" t="str">
        <f>+VLOOKUP(N108,'base de clientes'!A:B,2,0)</f>
        <v>ANULADO</v>
      </c>
      <c r="P108" s="1" t="s">
        <v>2</v>
      </c>
      <c r="Q108" s="1" t="s">
        <v>2</v>
      </c>
      <c r="R108" s="26">
        <v>0</v>
      </c>
      <c r="S108" s="24">
        <v>0</v>
      </c>
      <c r="T108" s="1" t="s">
        <v>2</v>
      </c>
      <c r="U108" s="1" t="s">
        <v>2</v>
      </c>
      <c r="V108" s="25">
        <f t="shared" si="16"/>
        <v>0</v>
      </c>
      <c r="W108" s="1" t="s">
        <v>1</v>
      </c>
      <c r="Y108" s="3">
        <f t="shared" si="17"/>
        <v>0</v>
      </c>
    </row>
    <row r="109" spans="1:25" x14ac:dyDescent="0.25">
      <c r="A109" s="1" t="s">
        <v>651</v>
      </c>
      <c r="B109" s="1" t="s">
        <v>618</v>
      </c>
      <c r="C109" s="5" t="str">
        <f t="shared" si="13"/>
        <v>14</v>
      </c>
      <c r="D109" s="5" t="str">
        <f t="shared" si="14"/>
        <v>05</v>
      </c>
      <c r="E109" s="4" t="s">
        <v>30</v>
      </c>
      <c r="F109" s="4" t="s">
        <v>31</v>
      </c>
      <c r="G109" s="22" t="str">
        <f t="shared" si="15"/>
        <v>14/05/2021</v>
      </c>
      <c r="H109" s="4" t="s">
        <v>1</v>
      </c>
      <c r="I109" s="4" t="s">
        <v>0</v>
      </c>
      <c r="J109" s="1" t="s">
        <v>216</v>
      </c>
      <c r="K109" s="1" t="s">
        <v>215</v>
      </c>
      <c r="L109" s="1">
        <v>302</v>
      </c>
      <c r="M109" s="1">
        <v>302</v>
      </c>
      <c r="N109" s="1" t="s">
        <v>224</v>
      </c>
      <c r="O109" s="24" t="str">
        <f>+VLOOKUP(N109,'base de clientes'!A:B,2,0)</f>
        <v>LA CONSTANCIA LTDA DE C.V.</v>
      </c>
      <c r="P109" s="1" t="s">
        <v>2</v>
      </c>
      <c r="Q109" s="1" t="s">
        <v>2</v>
      </c>
      <c r="R109" s="26">
        <v>1238.02</v>
      </c>
      <c r="S109" s="24">
        <v>160.94</v>
      </c>
      <c r="T109" s="1" t="s">
        <v>2</v>
      </c>
      <c r="U109" s="1" t="s">
        <v>2</v>
      </c>
      <c r="V109" s="25">
        <f t="shared" si="16"/>
        <v>1398.96</v>
      </c>
      <c r="W109" s="1" t="s">
        <v>1</v>
      </c>
      <c r="Y109" s="3">
        <f t="shared" si="17"/>
        <v>160.94</v>
      </c>
    </row>
    <row r="110" spans="1:25" x14ac:dyDescent="0.25">
      <c r="A110" s="1" t="s">
        <v>651</v>
      </c>
      <c r="B110" s="1" t="s">
        <v>657</v>
      </c>
      <c r="C110" s="5" t="str">
        <f t="shared" si="13"/>
        <v>18</v>
      </c>
      <c r="D110" s="5" t="str">
        <f t="shared" si="14"/>
        <v>05</v>
      </c>
      <c r="E110" s="4" t="s">
        <v>30</v>
      </c>
      <c r="F110" s="4" t="s">
        <v>31</v>
      </c>
      <c r="G110" s="22" t="str">
        <f t="shared" si="15"/>
        <v>18/05/2021</v>
      </c>
      <c r="H110" s="4" t="s">
        <v>1</v>
      </c>
      <c r="I110" s="4" t="s">
        <v>0</v>
      </c>
      <c r="J110" s="1" t="s">
        <v>216</v>
      </c>
      <c r="K110" s="1" t="s">
        <v>215</v>
      </c>
      <c r="L110" s="1">
        <v>303</v>
      </c>
      <c r="M110" s="1">
        <v>303</v>
      </c>
      <c r="N110" s="1" t="s">
        <v>217</v>
      </c>
      <c r="O110" s="24" t="str">
        <f>+VLOOKUP(N110,'base de clientes'!A:B,2,0)</f>
        <v>OPERADORA DEL SUR, S. A. DE C.V.</v>
      </c>
      <c r="P110" s="1" t="s">
        <v>2</v>
      </c>
      <c r="Q110" s="1" t="s">
        <v>2</v>
      </c>
      <c r="R110" s="26">
        <v>343.85</v>
      </c>
      <c r="S110" s="24">
        <v>44.7</v>
      </c>
      <c r="T110" s="1" t="s">
        <v>2</v>
      </c>
      <c r="U110" s="1" t="s">
        <v>2</v>
      </c>
      <c r="V110" s="25">
        <f t="shared" si="16"/>
        <v>388.55</v>
      </c>
      <c r="W110" s="1" t="s">
        <v>1</v>
      </c>
      <c r="Y110" s="3">
        <f t="shared" si="17"/>
        <v>44.7</v>
      </c>
    </row>
    <row r="111" spans="1:25" hidden="1" x14ac:dyDescent="0.25">
      <c r="A111" s="1" t="s">
        <v>651</v>
      </c>
      <c r="B111" s="1" t="s">
        <v>657</v>
      </c>
      <c r="C111" s="5" t="str">
        <f t="shared" si="13"/>
        <v>18</v>
      </c>
      <c r="D111" s="5" t="str">
        <f t="shared" si="14"/>
        <v>05</v>
      </c>
      <c r="E111" s="4" t="s">
        <v>30</v>
      </c>
      <c r="F111" s="4" t="s">
        <v>31</v>
      </c>
      <c r="G111" s="22" t="str">
        <f t="shared" si="15"/>
        <v>18/05/2021</v>
      </c>
      <c r="H111" s="4" t="s">
        <v>1</v>
      </c>
      <c r="I111" s="4" t="s">
        <v>0</v>
      </c>
      <c r="J111" s="1" t="s">
        <v>216</v>
      </c>
      <c r="K111" s="1" t="s">
        <v>215</v>
      </c>
      <c r="L111" s="1">
        <v>304</v>
      </c>
      <c r="M111" s="1">
        <v>304</v>
      </c>
      <c r="N111" s="1" t="s">
        <v>256</v>
      </c>
      <c r="O111" s="24" t="str">
        <f>+VLOOKUP(N111,'base de clientes'!A:B,2,0)</f>
        <v>ANULADO</v>
      </c>
      <c r="P111" s="1" t="s">
        <v>2</v>
      </c>
      <c r="Q111" s="1" t="s">
        <v>2</v>
      </c>
      <c r="R111" s="26">
        <v>0</v>
      </c>
      <c r="S111" s="24">
        <v>0</v>
      </c>
      <c r="T111" s="1" t="s">
        <v>2</v>
      </c>
      <c r="U111" s="1" t="s">
        <v>2</v>
      </c>
      <c r="V111" s="25">
        <f t="shared" si="16"/>
        <v>0</v>
      </c>
      <c r="W111" s="1" t="s">
        <v>1</v>
      </c>
      <c r="Y111" s="3">
        <f t="shared" si="17"/>
        <v>0</v>
      </c>
    </row>
    <row r="112" spans="1:25" x14ac:dyDescent="0.25">
      <c r="A112" s="1" t="s">
        <v>651</v>
      </c>
      <c r="B112" s="1" t="s">
        <v>657</v>
      </c>
      <c r="C112" s="5" t="str">
        <f t="shared" si="13"/>
        <v>18</v>
      </c>
      <c r="D112" s="5" t="str">
        <f t="shared" si="14"/>
        <v>05</v>
      </c>
      <c r="E112" s="4" t="s">
        <v>30</v>
      </c>
      <c r="F112" s="4" t="s">
        <v>31</v>
      </c>
      <c r="G112" s="22" t="str">
        <f t="shared" si="15"/>
        <v>18/05/2021</v>
      </c>
      <c r="H112" s="4" t="s">
        <v>1</v>
      </c>
      <c r="I112" s="4" t="s">
        <v>0</v>
      </c>
      <c r="J112" s="1" t="s">
        <v>216</v>
      </c>
      <c r="K112" s="1" t="s">
        <v>215</v>
      </c>
      <c r="L112" s="1">
        <v>305</v>
      </c>
      <c r="M112" s="1">
        <v>305</v>
      </c>
      <c r="N112" s="1" t="s">
        <v>217</v>
      </c>
      <c r="O112" s="24" t="str">
        <f>+VLOOKUP(N112,'base de clientes'!A:B,2,0)</f>
        <v>OPERADORA DEL SUR, S. A. DE C.V.</v>
      </c>
      <c r="P112" s="1" t="s">
        <v>2</v>
      </c>
      <c r="Q112" s="1" t="s">
        <v>2</v>
      </c>
      <c r="R112" s="26">
        <v>349.62</v>
      </c>
      <c r="S112" s="24">
        <v>45.45</v>
      </c>
      <c r="T112" s="1" t="s">
        <v>2</v>
      </c>
      <c r="U112" s="1" t="s">
        <v>2</v>
      </c>
      <c r="V112" s="25">
        <f t="shared" si="16"/>
        <v>395.07</v>
      </c>
      <c r="W112" s="1" t="s">
        <v>1</v>
      </c>
      <c r="Y112" s="3">
        <f t="shared" si="17"/>
        <v>45.45</v>
      </c>
    </row>
    <row r="113" spans="1:25" x14ac:dyDescent="0.25">
      <c r="A113" s="1" t="s">
        <v>651</v>
      </c>
      <c r="B113" s="1" t="s">
        <v>657</v>
      </c>
      <c r="C113" s="5" t="str">
        <f t="shared" si="13"/>
        <v>18</v>
      </c>
      <c r="D113" s="5" t="str">
        <f t="shared" si="14"/>
        <v>05</v>
      </c>
      <c r="E113" s="4" t="s">
        <v>30</v>
      </c>
      <c r="F113" s="4" t="s">
        <v>31</v>
      </c>
      <c r="G113" s="22" t="str">
        <f t="shared" si="15"/>
        <v>18/05/2021</v>
      </c>
      <c r="H113" s="4" t="s">
        <v>1</v>
      </c>
      <c r="I113" s="4" t="s">
        <v>0</v>
      </c>
      <c r="J113" s="1" t="s">
        <v>216</v>
      </c>
      <c r="K113" s="1" t="s">
        <v>215</v>
      </c>
      <c r="L113" s="1">
        <v>306</v>
      </c>
      <c r="M113" s="1">
        <v>306</v>
      </c>
      <c r="N113" s="1" t="s">
        <v>217</v>
      </c>
      <c r="O113" s="24" t="str">
        <f>+VLOOKUP(N113,'base de clientes'!A:B,2,0)</f>
        <v>OPERADORA DEL SUR, S. A. DE C.V.</v>
      </c>
      <c r="P113" s="1" t="s">
        <v>2</v>
      </c>
      <c r="Q113" s="1" t="s">
        <v>2</v>
      </c>
      <c r="R113" s="26">
        <v>3116.34</v>
      </c>
      <c r="S113" s="24">
        <v>405.12</v>
      </c>
      <c r="T113" s="1" t="s">
        <v>2</v>
      </c>
      <c r="U113" s="1" t="s">
        <v>2</v>
      </c>
      <c r="V113" s="25">
        <f t="shared" si="16"/>
        <v>3521.46</v>
      </c>
      <c r="W113" s="1" t="s">
        <v>1</v>
      </c>
      <c r="Y113" s="3">
        <f t="shared" si="17"/>
        <v>405.12</v>
      </c>
    </row>
    <row r="114" spans="1:25" x14ac:dyDescent="0.25">
      <c r="A114" s="1" t="s">
        <v>651</v>
      </c>
      <c r="B114" s="1" t="s">
        <v>658</v>
      </c>
      <c r="C114" s="5" t="str">
        <f t="shared" si="13"/>
        <v>19</v>
      </c>
      <c r="D114" s="5" t="str">
        <f t="shared" si="14"/>
        <v>05</v>
      </c>
      <c r="E114" s="4" t="s">
        <v>30</v>
      </c>
      <c r="F114" s="4" t="s">
        <v>31</v>
      </c>
      <c r="G114" s="22" t="str">
        <f t="shared" si="15"/>
        <v>19/05/2021</v>
      </c>
      <c r="H114" s="4" t="s">
        <v>1</v>
      </c>
      <c r="I114" s="4" t="s">
        <v>0</v>
      </c>
      <c r="J114" s="1" t="s">
        <v>216</v>
      </c>
      <c r="K114" s="1" t="s">
        <v>215</v>
      </c>
      <c r="L114" s="1">
        <v>307</v>
      </c>
      <c r="M114" s="1">
        <v>307</v>
      </c>
      <c r="N114" s="1" t="s">
        <v>269</v>
      </c>
      <c r="O114" s="24" t="str">
        <f>+VLOOKUP(N114,'base de clientes'!A:B,2,0)</f>
        <v>INVERSIONES STANLEY PACIFICO S.A DE C.V.</v>
      </c>
      <c r="P114" s="1" t="s">
        <v>2</v>
      </c>
      <c r="Q114" s="1" t="s">
        <v>2</v>
      </c>
      <c r="R114" s="26">
        <v>386.64</v>
      </c>
      <c r="S114" s="24">
        <v>50.26</v>
      </c>
      <c r="T114" s="1" t="s">
        <v>2</v>
      </c>
      <c r="U114" s="1" t="s">
        <v>2</v>
      </c>
      <c r="V114" s="25">
        <f t="shared" si="16"/>
        <v>436.9</v>
      </c>
      <c r="W114" s="1" t="s">
        <v>1</v>
      </c>
      <c r="Y114" s="3">
        <f t="shared" si="17"/>
        <v>50.26</v>
      </c>
    </row>
    <row r="115" spans="1:25" x14ac:dyDescent="0.25">
      <c r="A115" s="1" t="s">
        <v>651</v>
      </c>
      <c r="B115" s="1" t="s">
        <v>658</v>
      </c>
      <c r="C115" s="5" t="str">
        <f t="shared" si="13"/>
        <v>19</v>
      </c>
      <c r="D115" s="5" t="str">
        <f t="shared" si="14"/>
        <v>05</v>
      </c>
      <c r="E115" s="4" t="s">
        <v>30</v>
      </c>
      <c r="F115" s="4" t="s">
        <v>31</v>
      </c>
      <c r="G115" s="22" t="str">
        <f t="shared" si="15"/>
        <v>19/05/2021</v>
      </c>
      <c r="H115" s="4" t="s">
        <v>1</v>
      </c>
      <c r="I115" s="4" t="s">
        <v>0</v>
      </c>
      <c r="J115" s="1" t="s">
        <v>216</v>
      </c>
      <c r="K115" s="1" t="s">
        <v>215</v>
      </c>
      <c r="L115" s="1">
        <v>308</v>
      </c>
      <c r="M115" s="1">
        <v>308</v>
      </c>
      <c r="N115" s="1" t="s">
        <v>219</v>
      </c>
      <c r="O115" s="24" t="str">
        <f>+VLOOKUP(N115,'base de clientes'!A:B,2,0)</f>
        <v>NEMTEX S.A DE C.V.</v>
      </c>
      <c r="P115" s="1" t="s">
        <v>2</v>
      </c>
      <c r="Q115" s="1" t="s">
        <v>2</v>
      </c>
      <c r="R115" s="26">
        <v>255.92</v>
      </c>
      <c r="S115" s="24">
        <v>33.270000000000003</v>
      </c>
      <c r="T115" s="1" t="s">
        <v>2</v>
      </c>
      <c r="U115" s="1" t="s">
        <v>2</v>
      </c>
      <c r="V115" s="25">
        <f t="shared" si="16"/>
        <v>289.19</v>
      </c>
      <c r="W115" s="1" t="s">
        <v>1</v>
      </c>
      <c r="Y115" s="3">
        <f t="shared" si="17"/>
        <v>33.270000000000003</v>
      </c>
    </row>
    <row r="116" spans="1:25" x14ac:dyDescent="0.25">
      <c r="A116" s="1" t="s">
        <v>651</v>
      </c>
      <c r="B116" s="1" t="s">
        <v>658</v>
      </c>
      <c r="C116" s="5" t="str">
        <f t="shared" si="13"/>
        <v>19</v>
      </c>
      <c r="D116" s="5" t="str">
        <f t="shared" si="14"/>
        <v>05</v>
      </c>
      <c r="E116" s="4" t="s">
        <v>30</v>
      </c>
      <c r="F116" s="4" t="s">
        <v>31</v>
      </c>
      <c r="G116" s="22" t="str">
        <f t="shared" si="15"/>
        <v>19/05/2021</v>
      </c>
      <c r="H116" s="4" t="s">
        <v>1</v>
      </c>
      <c r="I116" s="4" t="s">
        <v>0</v>
      </c>
      <c r="J116" s="1" t="s">
        <v>216</v>
      </c>
      <c r="K116" s="1" t="s">
        <v>215</v>
      </c>
      <c r="L116" s="1">
        <v>309</v>
      </c>
      <c r="M116" s="1">
        <v>309</v>
      </c>
      <c r="N116" s="1" t="s">
        <v>304</v>
      </c>
      <c r="O116" s="24" t="str">
        <f>+VLOOKUP(N116,'base de clientes'!A:B,2,0)</f>
        <v>INDUSTRIAS MIKE MIKE S.A DE C.V.</v>
      </c>
      <c r="P116" s="1" t="s">
        <v>2</v>
      </c>
      <c r="Q116" s="1" t="s">
        <v>2</v>
      </c>
      <c r="R116" s="26">
        <v>165.92</v>
      </c>
      <c r="S116" s="24">
        <v>21.57</v>
      </c>
      <c r="T116" s="1" t="s">
        <v>2</v>
      </c>
      <c r="U116" s="1" t="s">
        <v>2</v>
      </c>
      <c r="V116" s="25">
        <f t="shared" si="16"/>
        <v>187.48999999999998</v>
      </c>
      <c r="W116" s="1" t="s">
        <v>1</v>
      </c>
      <c r="Y116" s="3">
        <f t="shared" si="17"/>
        <v>21.57</v>
      </c>
    </row>
    <row r="117" spans="1:25" x14ac:dyDescent="0.25">
      <c r="A117" s="1" t="s">
        <v>651</v>
      </c>
      <c r="B117" s="1" t="s">
        <v>659</v>
      </c>
      <c r="C117" s="5" t="str">
        <f t="shared" si="13"/>
        <v>21</v>
      </c>
      <c r="D117" s="5" t="str">
        <f t="shared" si="14"/>
        <v>05</v>
      </c>
      <c r="E117" s="4" t="s">
        <v>30</v>
      </c>
      <c r="F117" s="4" t="s">
        <v>31</v>
      </c>
      <c r="G117" s="22" t="str">
        <f t="shared" si="15"/>
        <v>21/05/2021</v>
      </c>
      <c r="H117" s="4" t="s">
        <v>1</v>
      </c>
      <c r="I117" s="4" t="s">
        <v>0</v>
      </c>
      <c r="J117" s="1" t="s">
        <v>216</v>
      </c>
      <c r="K117" s="1" t="s">
        <v>215</v>
      </c>
      <c r="L117" s="1">
        <v>310</v>
      </c>
      <c r="M117" s="1">
        <v>310</v>
      </c>
      <c r="N117" s="1" t="s">
        <v>213</v>
      </c>
      <c r="O117" s="24" t="str">
        <f>+VLOOKUP(N117,'base de clientes'!A:B,2,0)</f>
        <v>PRODUCTOS CARNICOS S.A DE C.V.</v>
      </c>
      <c r="P117" s="1" t="s">
        <v>2</v>
      </c>
      <c r="Q117" s="1" t="s">
        <v>2</v>
      </c>
      <c r="R117" s="26">
        <v>344.6</v>
      </c>
      <c r="S117" s="24">
        <v>44.8</v>
      </c>
      <c r="T117" s="1" t="s">
        <v>2</v>
      </c>
      <c r="U117" s="1" t="s">
        <v>2</v>
      </c>
      <c r="V117" s="25">
        <f t="shared" si="16"/>
        <v>389.40000000000003</v>
      </c>
      <c r="W117" s="1" t="s">
        <v>1</v>
      </c>
      <c r="Y117" s="3">
        <f t="shared" si="17"/>
        <v>44.8</v>
      </c>
    </row>
    <row r="118" spans="1:25" x14ac:dyDescent="0.25">
      <c r="A118" s="1" t="s">
        <v>651</v>
      </c>
      <c r="B118" s="1" t="s">
        <v>659</v>
      </c>
      <c r="C118" s="5" t="str">
        <f t="shared" si="13"/>
        <v>21</v>
      </c>
      <c r="D118" s="5" t="str">
        <f t="shared" si="14"/>
        <v>05</v>
      </c>
      <c r="E118" s="4" t="s">
        <v>30</v>
      </c>
      <c r="F118" s="4" t="s">
        <v>31</v>
      </c>
      <c r="G118" s="22" t="str">
        <f t="shared" si="15"/>
        <v>21/05/2021</v>
      </c>
      <c r="H118" s="4" t="s">
        <v>1</v>
      </c>
      <c r="I118" s="4" t="s">
        <v>0</v>
      </c>
      <c r="J118" s="1" t="s">
        <v>216</v>
      </c>
      <c r="K118" s="1" t="s">
        <v>215</v>
      </c>
      <c r="L118" s="1">
        <v>311</v>
      </c>
      <c r="M118" s="1">
        <v>311</v>
      </c>
      <c r="N118" s="1" t="s">
        <v>217</v>
      </c>
      <c r="O118" s="24" t="str">
        <f>+VLOOKUP(N118,'base de clientes'!A:B,2,0)</f>
        <v>OPERADORA DEL SUR, S. A. DE C.V.</v>
      </c>
      <c r="P118" s="1" t="s">
        <v>2</v>
      </c>
      <c r="Q118" s="1" t="s">
        <v>2</v>
      </c>
      <c r="R118" s="26">
        <v>550</v>
      </c>
      <c r="S118" s="24">
        <v>71.5</v>
      </c>
      <c r="T118" s="1" t="s">
        <v>2</v>
      </c>
      <c r="U118" s="1" t="s">
        <v>2</v>
      </c>
      <c r="V118" s="25">
        <f t="shared" si="16"/>
        <v>621.5</v>
      </c>
      <c r="W118" s="1" t="s">
        <v>1</v>
      </c>
      <c r="Y118" s="3">
        <f t="shared" si="17"/>
        <v>71.5</v>
      </c>
    </row>
    <row r="119" spans="1:25" x14ac:dyDescent="0.25">
      <c r="A119" s="1" t="s">
        <v>651</v>
      </c>
      <c r="B119" s="1" t="s">
        <v>659</v>
      </c>
      <c r="C119" s="5" t="str">
        <f t="shared" si="13"/>
        <v>21</v>
      </c>
      <c r="D119" s="5" t="str">
        <f t="shared" si="14"/>
        <v>05</v>
      </c>
      <c r="E119" s="4" t="s">
        <v>30</v>
      </c>
      <c r="F119" s="4" t="s">
        <v>31</v>
      </c>
      <c r="G119" s="22" t="str">
        <f t="shared" si="15"/>
        <v>21/05/2021</v>
      </c>
      <c r="H119" s="4" t="s">
        <v>1</v>
      </c>
      <c r="I119" s="4" t="s">
        <v>0</v>
      </c>
      <c r="J119" s="1" t="s">
        <v>216</v>
      </c>
      <c r="K119" s="1" t="s">
        <v>215</v>
      </c>
      <c r="L119" s="1">
        <v>312</v>
      </c>
      <c r="M119" s="1">
        <v>312</v>
      </c>
      <c r="N119" s="1" t="s">
        <v>217</v>
      </c>
      <c r="O119" s="24" t="str">
        <f>+VLOOKUP(N119,'base de clientes'!A:B,2,0)</f>
        <v>OPERADORA DEL SUR, S. A. DE C.V.</v>
      </c>
      <c r="P119" s="1" t="s">
        <v>2</v>
      </c>
      <c r="Q119" s="1" t="s">
        <v>2</v>
      </c>
      <c r="R119" s="26">
        <v>2147.04</v>
      </c>
      <c r="S119" s="24">
        <v>279.12</v>
      </c>
      <c r="T119" s="1" t="s">
        <v>2</v>
      </c>
      <c r="U119" s="1" t="s">
        <v>2</v>
      </c>
      <c r="V119" s="25">
        <f t="shared" si="16"/>
        <v>2426.16</v>
      </c>
      <c r="W119" s="1" t="s">
        <v>1</v>
      </c>
      <c r="Y119" s="3">
        <f t="shared" si="17"/>
        <v>279.12</v>
      </c>
    </row>
    <row r="120" spans="1:25" x14ac:dyDescent="0.25">
      <c r="A120" s="1" t="s">
        <v>651</v>
      </c>
      <c r="B120" s="1" t="s">
        <v>659</v>
      </c>
      <c r="C120" s="5" t="str">
        <f t="shared" si="13"/>
        <v>21</v>
      </c>
      <c r="D120" s="5" t="str">
        <f t="shared" si="14"/>
        <v>05</v>
      </c>
      <c r="E120" s="4" t="s">
        <v>30</v>
      </c>
      <c r="F120" s="4" t="s">
        <v>31</v>
      </c>
      <c r="G120" s="22" t="str">
        <f t="shared" si="15"/>
        <v>21/05/2021</v>
      </c>
      <c r="H120" s="4" t="s">
        <v>1</v>
      </c>
      <c r="I120" s="4" t="s">
        <v>0</v>
      </c>
      <c r="J120" s="1" t="s">
        <v>216</v>
      </c>
      <c r="K120" s="1" t="s">
        <v>215</v>
      </c>
      <c r="L120" s="1">
        <v>313</v>
      </c>
      <c r="M120" s="1">
        <v>313</v>
      </c>
      <c r="N120" s="1" t="s">
        <v>217</v>
      </c>
      <c r="O120" s="24" t="str">
        <f>+VLOOKUP(N120,'base de clientes'!A:B,2,0)</f>
        <v>OPERADORA DEL SUR, S. A. DE C.V.</v>
      </c>
      <c r="P120" s="1" t="s">
        <v>2</v>
      </c>
      <c r="Q120" s="1" t="s">
        <v>2</v>
      </c>
      <c r="R120" s="26">
        <v>500</v>
      </c>
      <c r="S120" s="24">
        <v>65</v>
      </c>
      <c r="T120" s="1" t="s">
        <v>2</v>
      </c>
      <c r="U120" s="1" t="s">
        <v>2</v>
      </c>
      <c r="V120" s="25">
        <f t="shared" si="16"/>
        <v>565</v>
      </c>
      <c r="W120" s="1" t="s">
        <v>1</v>
      </c>
      <c r="Y120" s="3">
        <f t="shared" si="17"/>
        <v>65</v>
      </c>
    </row>
    <row r="121" spans="1:25" x14ac:dyDescent="0.25">
      <c r="A121" s="1" t="s">
        <v>651</v>
      </c>
      <c r="B121" s="1" t="s">
        <v>659</v>
      </c>
      <c r="C121" s="5" t="str">
        <f t="shared" si="13"/>
        <v>21</v>
      </c>
      <c r="D121" s="5" t="str">
        <f t="shared" si="14"/>
        <v>05</v>
      </c>
      <c r="E121" s="4" t="s">
        <v>30</v>
      </c>
      <c r="F121" s="4" t="s">
        <v>31</v>
      </c>
      <c r="G121" s="22" t="str">
        <f t="shared" si="15"/>
        <v>21/05/2021</v>
      </c>
      <c r="H121" s="4" t="s">
        <v>1</v>
      </c>
      <c r="I121" s="4" t="s">
        <v>0</v>
      </c>
      <c r="J121" s="1" t="s">
        <v>216</v>
      </c>
      <c r="K121" s="1" t="s">
        <v>215</v>
      </c>
      <c r="L121" s="1">
        <v>314</v>
      </c>
      <c r="M121" s="1">
        <v>314</v>
      </c>
      <c r="N121" s="1" t="s">
        <v>217</v>
      </c>
      <c r="O121" s="24" t="str">
        <f>+VLOOKUP(N121,'base de clientes'!A:B,2,0)</f>
        <v>OPERADORA DEL SUR, S. A. DE C.V.</v>
      </c>
      <c r="P121" s="1" t="s">
        <v>2</v>
      </c>
      <c r="Q121" s="1" t="s">
        <v>2</v>
      </c>
      <c r="R121" s="26">
        <v>225.03</v>
      </c>
      <c r="S121" s="24">
        <v>29.25</v>
      </c>
      <c r="T121" s="1" t="s">
        <v>2</v>
      </c>
      <c r="U121" s="1" t="s">
        <v>2</v>
      </c>
      <c r="V121" s="25">
        <f t="shared" si="16"/>
        <v>254.28</v>
      </c>
      <c r="W121" s="1" t="s">
        <v>1</v>
      </c>
      <c r="Y121" s="3">
        <f t="shared" si="17"/>
        <v>29.25</v>
      </c>
    </row>
    <row r="122" spans="1:25" x14ac:dyDescent="0.25">
      <c r="A122" s="1" t="s">
        <v>651</v>
      </c>
      <c r="B122" s="1" t="s">
        <v>659</v>
      </c>
      <c r="C122" s="5" t="str">
        <f t="shared" si="13"/>
        <v>21</v>
      </c>
      <c r="D122" s="5" t="str">
        <f t="shared" si="14"/>
        <v>05</v>
      </c>
      <c r="E122" s="4" t="s">
        <v>30</v>
      </c>
      <c r="F122" s="4" t="s">
        <v>31</v>
      </c>
      <c r="G122" s="22" t="str">
        <f t="shared" si="15"/>
        <v>21/05/2021</v>
      </c>
      <c r="H122" s="4" t="s">
        <v>1</v>
      </c>
      <c r="I122" s="4" t="s">
        <v>0</v>
      </c>
      <c r="J122" s="1" t="s">
        <v>216</v>
      </c>
      <c r="K122" s="1" t="s">
        <v>215</v>
      </c>
      <c r="L122" s="1">
        <v>315</v>
      </c>
      <c r="M122" s="1">
        <v>315</v>
      </c>
      <c r="N122" s="1" t="s">
        <v>217</v>
      </c>
      <c r="O122" s="24" t="str">
        <f>+VLOOKUP(N122,'base de clientes'!A:B,2,0)</f>
        <v>OPERADORA DEL SUR, S. A. DE C.V.</v>
      </c>
      <c r="P122" s="1" t="s">
        <v>2</v>
      </c>
      <c r="Q122" s="1" t="s">
        <v>2</v>
      </c>
      <c r="R122" s="26">
        <v>760.05</v>
      </c>
      <c r="S122" s="24">
        <v>98.81</v>
      </c>
      <c r="T122" s="1" t="s">
        <v>2</v>
      </c>
      <c r="U122" s="1" t="s">
        <v>2</v>
      </c>
      <c r="V122" s="25">
        <f t="shared" si="16"/>
        <v>858.8599999999999</v>
      </c>
      <c r="W122" s="1" t="s">
        <v>1</v>
      </c>
      <c r="Y122" s="3">
        <f t="shared" si="17"/>
        <v>98.81</v>
      </c>
    </row>
    <row r="123" spans="1:25" hidden="1" x14ac:dyDescent="0.25">
      <c r="A123" s="1" t="s">
        <v>651</v>
      </c>
      <c r="B123" s="1" t="s">
        <v>660</v>
      </c>
      <c r="C123" s="5" t="str">
        <f t="shared" si="13"/>
        <v>26</v>
      </c>
      <c r="D123" s="5" t="str">
        <f t="shared" si="14"/>
        <v>05</v>
      </c>
      <c r="E123" s="4" t="s">
        <v>30</v>
      </c>
      <c r="F123" s="4" t="s">
        <v>31</v>
      </c>
      <c r="G123" s="22" t="str">
        <f t="shared" si="15"/>
        <v>26/05/2021</v>
      </c>
      <c r="H123" s="4" t="s">
        <v>1</v>
      </c>
      <c r="I123" s="4" t="s">
        <v>0</v>
      </c>
      <c r="J123" s="1" t="s">
        <v>216</v>
      </c>
      <c r="K123" s="1" t="s">
        <v>215</v>
      </c>
      <c r="L123" s="1">
        <v>316</v>
      </c>
      <c r="M123" s="1">
        <v>316</v>
      </c>
      <c r="N123" s="1" t="s">
        <v>256</v>
      </c>
      <c r="O123" s="24" t="str">
        <f>+VLOOKUP(N123,'base de clientes'!A:B,2,0)</f>
        <v>ANULADO</v>
      </c>
      <c r="P123" s="1" t="s">
        <v>2</v>
      </c>
      <c r="Q123" s="1" t="s">
        <v>2</v>
      </c>
      <c r="R123" s="26">
        <v>0</v>
      </c>
      <c r="S123" s="24">
        <v>0</v>
      </c>
      <c r="T123" s="1" t="s">
        <v>2</v>
      </c>
      <c r="U123" s="1" t="s">
        <v>2</v>
      </c>
      <c r="V123" s="25">
        <f t="shared" si="16"/>
        <v>0</v>
      </c>
      <c r="W123" s="1" t="s">
        <v>1</v>
      </c>
      <c r="Y123" s="3">
        <f t="shared" si="17"/>
        <v>0</v>
      </c>
    </row>
    <row r="124" spans="1:25" x14ac:dyDescent="0.25">
      <c r="A124" s="1" t="s">
        <v>651</v>
      </c>
      <c r="B124" s="1" t="s">
        <v>660</v>
      </c>
      <c r="C124" s="5" t="str">
        <f t="shared" si="13"/>
        <v>26</v>
      </c>
      <c r="D124" s="5" t="str">
        <f t="shared" si="14"/>
        <v>05</v>
      </c>
      <c r="E124" s="4" t="s">
        <v>30</v>
      </c>
      <c r="F124" s="4" t="s">
        <v>31</v>
      </c>
      <c r="G124" s="22" t="str">
        <f t="shared" si="15"/>
        <v>26/05/2021</v>
      </c>
      <c r="H124" s="4" t="s">
        <v>1</v>
      </c>
      <c r="I124" s="4" t="s">
        <v>0</v>
      </c>
      <c r="J124" s="1" t="s">
        <v>216</v>
      </c>
      <c r="K124" s="1" t="s">
        <v>215</v>
      </c>
      <c r="L124" s="1">
        <v>317</v>
      </c>
      <c r="M124" s="1">
        <v>317</v>
      </c>
      <c r="N124" s="1" t="s">
        <v>213</v>
      </c>
      <c r="O124" s="24" t="str">
        <f>+VLOOKUP(N124,'base de clientes'!A:B,2,0)</f>
        <v>PRODUCTOS CARNICOS S.A DE C.V.</v>
      </c>
      <c r="P124" s="1" t="s">
        <v>2</v>
      </c>
      <c r="Q124" s="1" t="s">
        <v>2</v>
      </c>
      <c r="R124" s="26">
        <v>2660.6</v>
      </c>
      <c r="S124" s="24">
        <v>345.88</v>
      </c>
      <c r="T124" s="1" t="s">
        <v>2</v>
      </c>
      <c r="U124" s="1" t="s">
        <v>2</v>
      </c>
      <c r="V124" s="25">
        <f t="shared" si="16"/>
        <v>3006.48</v>
      </c>
      <c r="W124" s="1" t="s">
        <v>1</v>
      </c>
      <c r="Y124" s="3">
        <f t="shared" si="17"/>
        <v>345.88</v>
      </c>
    </row>
    <row r="125" spans="1:25" hidden="1" x14ac:dyDescent="0.25">
      <c r="A125" s="1" t="s">
        <v>843</v>
      </c>
      <c r="B125" s="1" t="s">
        <v>848</v>
      </c>
      <c r="C125" s="5" t="str">
        <f t="shared" ref="C125" si="18">+LEFT(B125,2)</f>
        <v>01</v>
      </c>
      <c r="D125" s="5" t="str">
        <f t="shared" ref="D125" si="19">+RIGHT(B125,2)</f>
        <v>06</v>
      </c>
      <c r="E125" s="4" t="s">
        <v>30</v>
      </c>
      <c r="F125" s="4" t="s">
        <v>31</v>
      </c>
      <c r="G125" s="22" t="str">
        <f t="shared" ref="G125" si="20">+C125&amp;F125&amp;D125&amp;F125&amp;E125</f>
        <v>01/06/2021</v>
      </c>
      <c r="H125" s="4" t="s">
        <v>1</v>
      </c>
      <c r="I125" s="4" t="s">
        <v>0</v>
      </c>
      <c r="J125" s="1" t="s">
        <v>216</v>
      </c>
      <c r="K125" s="1" t="s">
        <v>215</v>
      </c>
      <c r="L125" s="1" t="s">
        <v>1015</v>
      </c>
      <c r="M125" s="1" t="s">
        <v>1015</v>
      </c>
      <c r="N125" s="1" t="s">
        <v>256</v>
      </c>
      <c r="O125" s="24" t="str">
        <f>+VLOOKUP(N125,'base de clientes'!A:B,2,0)</f>
        <v>ANULADO</v>
      </c>
      <c r="P125" s="1" t="s">
        <v>2</v>
      </c>
      <c r="Q125" s="1" t="s">
        <v>2</v>
      </c>
      <c r="R125" s="3">
        <f>+IF(O125="ANULADO",0,"")</f>
        <v>0</v>
      </c>
      <c r="S125" s="24">
        <f t="shared" ref="S125:S153" si="21">+R125*0.13</f>
        <v>0</v>
      </c>
      <c r="T125" s="1" t="s">
        <v>2</v>
      </c>
      <c r="U125" s="1" t="s">
        <v>2</v>
      </c>
      <c r="V125" s="25">
        <f t="shared" ref="V125" si="22">+R125+S125</f>
        <v>0</v>
      </c>
      <c r="W125" s="1" t="s">
        <v>1</v>
      </c>
    </row>
    <row r="126" spans="1:25" x14ac:dyDescent="0.25">
      <c r="A126" s="1" t="s">
        <v>843</v>
      </c>
      <c r="B126" s="1" t="s">
        <v>848</v>
      </c>
      <c r="C126" s="5" t="str">
        <f t="shared" ref="C126:C153" si="23">+LEFT(B126,2)</f>
        <v>01</v>
      </c>
      <c r="D126" s="5" t="str">
        <f t="shared" ref="D126:D153" si="24">+RIGHT(B126,2)</f>
        <v>06</v>
      </c>
      <c r="E126" s="4" t="s">
        <v>30</v>
      </c>
      <c r="F126" s="4" t="s">
        <v>31</v>
      </c>
      <c r="G126" s="22" t="str">
        <f t="shared" ref="G126:G153" si="25">+C126&amp;F126&amp;D126&amp;F126&amp;E126</f>
        <v>01/06/2021</v>
      </c>
      <c r="H126" s="4" t="s">
        <v>1</v>
      </c>
      <c r="I126" s="4" t="s">
        <v>0</v>
      </c>
      <c r="J126" s="1" t="s">
        <v>216</v>
      </c>
      <c r="K126" s="1" t="s">
        <v>215</v>
      </c>
      <c r="L126" s="1" t="s">
        <v>1016</v>
      </c>
      <c r="M126" s="1" t="s">
        <v>1016</v>
      </c>
      <c r="N126" s="1" t="s">
        <v>249</v>
      </c>
      <c r="O126" s="24" t="str">
        <f>+VLOOKUP(N126,'base de clientes'!A:B,2,0)</f>
        <v>PROGURSA S.A DE C.V.</v>
      </c>
      <c r="P126" s="1" t="s">
        <v>2</v>
      </c>
      <c r="Q126" s="1" t="s">
        <v>2</v>
      </c>
      <c r="R126" s="3">
        <v>150</v>
      </c>
      <c r="S126" s="24">
        <f t="shared" si="21"/>
        <v>19.5</v>
      </c>
      <c r="T126" s="1" t="s">
        <v>2</v>
      </c>
      <c r="U126" s="1" t="s">
        <v>2</v>
      </c>
      <c r="V126" s="25">
        <f t="shared" ref="V126:V153" si="26">+R126+S126</f>
        <v>169.5</v>
      </c>
      <c r="W126" s="1" t="s">
        <v>1</v>
      </c>
    </row>
    <row r="127" spans="1:25" x14ac:dyDescent="0.25">
      <c r="A127" s="1" t="s">
        <v>843</v>
      </c>
      <c r="B127" s="1" t="s">
        <v>848</v>
      </c>
      <c r="C127" s="5" t="str">
        <f t="shared" si="23"/>
        <v>01</v>
      </c>
      <c r="D127" s="5" t="str">
        <f t="shared" si="24"/>
        <v>06</v>
      </c>
      <c r="E127" s="4" t="s">
        <v>30</v>
      </c>
      <c r="F127" s="4" t="s">
        <v>31</v>
      </c>
      <c r="G127" s="22" t="str">
        <f t="shared" si="25"/>
        <v>01/06/2021</v>
      </c>
      <c r="H127" s="4" t="s">
        <v>1</v>
      </c>
      <c r="I127" s="4" t="s">
        <v>0</v>
      </c>
      <c r="J127" s="1" t="s">
        <v>216</v>
      </c>
      <c r="K127" s="1" t="s">
        <v>215</v>
      </c>
      <c r="L127" s="1" t="s">
        <v>1017</v>
      </c>
      <c r="M127" s="1" t="s">
        <v>1017</v>
      </c>
      <c r="N127" s="1" t="s">
        <v>221</v>
      </c>
      <c r="O127" s="24" t="str">
        <f>+VLOOKUP(N127,'base de clientes'!A:B,2,0)</f>
        <v>DIDEA S.A DE C.V.</v>
      </c>
      <c r="P127" s="1" t="s">
        <v>2</v>
      </c>
      <c r="Q127" s="1" t="s">
        <v>2</v>
      </c>
      <c r="R127" s="3">
        <v>141.1</v>
      </c>
      <c r="S127" s="24">
        <f t="shared" si="21"/>
        <v>18.343</v>
      </c>
      <c r="T127" s="1" t="s">
        <v>2</v>
      </c>
      <c r="U127" s="1" t="s">
        <v>2</v>
      </c>
      <c r="V127" s="25">
        <f t="shared" si="26"/>
        <v>159.44299999999998</v>
      </c>
      <c r="W127" s="1" t="s">
        <v>1</v>
      </c>
    </row>
    <row r="128" spans="1:25" x14ac:dyDescent="0.25">
      <c r="A128" s="1" t="s">
        <v>843</v>
      </c>
      <c r="B128" s="1" t="s">
        <v>848</v>
      </c>
      <c r="C128" s="5" t="str">
        <f t="shared" si="23"/>
        <v>01</v>
      </c>
      <c r="D128" s="5" t="str">
        <f t="shared" si="24"/>
        <v>06</v>
      </c>
      <c r="E128" s="4" t="s">
        <v>30</v>
      </c>
      <c r="F128" s="4" t="s">
        <v>31</v>
      </c>
      <c r="G128" s="22" t="str">
        <f t="shared" si="25"/>
        <v>01/06/2021</v>
      </c>
      <c r="H128" s="4" t="s">
        <v>1</v>
      </c>
      <c r="I128" s="4" t="s">
        <v>0</v>
      </c>
      <c r="J128" s="1" t="s">
        <v>216</v>
      </c>
      <c r="K128" s="1" t="s">
        <v>215</v>
      </c>
      <c r="L128" s="1" t="s">
        <v>1018</v>
      </c>
      <c r="M128" s="1" t="s">
        <v>1018</v>
      </c>
      <c r="N128" s="1" t="s">
        <v>237</v>
      </c>
      <c r="O128" s="24" t="str">
        <f>+VLOOKUP(N128,'base de clientes'!A:B,2,0)</f>
        <v>TALLER DIDEA, S.A. DE C.V.</v>
      </c>
      <c r="P128" s="1" t="s">
        <v>2</v>
      </c>
      <c r="Q128" s="1" t="s">
        <v>2</v>
      </c>
      <c r="R128" s="3">
        <v>377.6</v>
      </c>
      <c r="S128" s="24">
        <f t="shared" si="21"/>
        <v>49.088000000000008</v>
      </c>
      <c r="T128" s="1" t="s">
        <v>2</v>
      </c>
      <c r="U128" s="1" t="s">
        <v>2</v>
      </c>
      <c r="V128" s="25">
        <f t="shared" si="26"/>
        <v>426.68800000000005</v>
      </c>
      <c r="W128" s="1" t="s">
        <v>1</v>
      </c>
    </row>
    <row r="129" spans="1:23" x14ac:dyDescent="0.25">
      <c r="A129" s="1" t="s">
        <v>843</v>
      </c>
      <c r="B129" s="1" t="s">
        <v>848</v>
      </c>
      <c r="C129" s="5" t="str">
        <f t="shared" si="23"/>
        <v>01</v>
      </c>
      <c r="D129" s="5" t="str">
        <f t="shared" si="24"/>
        <v>06</v>
      </c>
      <c r="E129" s="4" t="s">
        <v>30</v>
      </c>
      <c r="F129" s="4" t="s">
        <v>31</v>
      </c>
      <c r="G129" s="22" t="str">
        <f t="shared" si="25"/>
        <v>01/06/2021</v>
      </c>
      <c r="H129" s="4" t="s">
        <v>1</v>
      </c>
      <c r="I129" s="4" t="s">
        <v>0</v>
      </c>
      <c r="J129" s="1" t="s">
        <v>216</v>
      </c>
      <c r="K129" s="1" t="s">
        <v>215</v>
      </c>
      <c r="L129" s="1" t="s">
        <v>1019</v>
      </c>
      <c r="M129" s="1" t="s">
        <v>1019</v>
      </c>
      <c r="N129" s="1" t="s">
        <v>239</v>
      </c>
      <c r="O129" s="24" t="str">
        <f>+VLOOKUP(N129,'base de clientes'!A:B,2,0)</f>
        <v>PINTURA Y ENDEREZADO S.A DE C.V.</v>
      </c>
      <c r="P129" s="1" t="s">
        <v>2</v>
      </c>
      <c r="Q129" s="1" t="s">
        <v>2</v>
      </c>
      <c r="R129" s="3">
        <v>148.04</v>
      </c>
      <c r="S129" s="24">
        <f t="shared" si="21"/>
        <v>19.245200000000001</v>
      </c>
      <c r="T129" s="1" t="s">
        <v>2</v>
      </c>
      <c r="U129" s="1" t="s">
        <v>2</v>
      </c>
      <c r="V129" s="25">
        <f t="shared" si="26"/>
        <v>167.2852</v>
      </c>
      <c r="W129" s="1" t="s">
        <v>1</v>
      </c>
    </row>
    <row r="130" spans="1:23" x14ac:dyDescent="0.25">
      <c r="A130" s="1" t="s">
        <v>843</v>
      </c>
      <c r="B130" s="1" t="s">
        <v>848</v>
      </c>
      <c r="C130" s="5" t="str">
        <f t="shared" si="23"/>
        <v>01</v>
      </c>
      <c r="D130" s="5" t="str">
        <f t="shared" si="24"/>
        <v>06</v>
      </c>
      <c r="E130" s="4" t="s">
        <v>30</v>
      </c>
      <c r="F130" s="4" t="s">
        <v>31</v>
      </c>
      <c r="G130" s="22" t="str">
        <f t="shared" si="25"/>
        <v>01/06/2021</v>
      </c>
      <c r="H130" s="4" t="s">
        <v>1</v>
      </c>
      <c r="I130" s="4" t="s">
        <v>0</v>
      </c>
      <c r="J130" s="1" t="s">
        <v>216</v>
      </c>
      <c r="K130" s="1" t="s">
        <v>215</v>
      </c>
      <c r="L130" s="1" t="s">
        <v>1020</v>
      </c>
      <c r="M130" s="1" t="s">
        <v>1020</v>
      </c>
      <c r="N130" s="1" t="s">
        <v>247</v>
      </c>
      <c r="O130" s="24" t="str">
        <f>+VLOOKUP(N130,'base de clientes'!A:B,2,0)</f>
        <v>HOTELES S.A DE C.V.</v>
      </c>
      <c r="P130" s="1" t="s">
        <v>2</v>
      </c>
      <c r="Q130" s="1" t="s">
        <v>2</v>
      </c>
      <c r="R130" s="3">
        <v>750</v>
      </c>
      <c r="S130" s="24">
        <f t="shared" si="21"/>
        <v>97.5</v>
      </c>
      <c r="T130" s="1" t="s">
        <v>2</v>
      </c>
      <c r="U130" s="1" t="s">
        <v>2</v>
      </c>
      <c r="V130" s="25">
        <f t="shared" si="26"/>
        <v>847.5</v>
      </c>
      <c r="W130" s="1" t="s">
        <v>1</v>
      </c>
    </row>
    <row r="131" spans="1:23" x14ac:dyDescent="0.25">
      <c r="A131" s="1" t="s">
        <v>843</v>
      </c>
      <c r="B131" s="1" t="s">
        <v>848</v>
      </c>
      <c r="C131" s="5" t="str">
        <f t="shared" si="23"/>
        <v>01</v>
      </c>
      <c r="D131" s="5" t="str">
        <f t="shared" si="24"/>
        <v>06</v>
      </c>
      <c r="E131" s="4" t="s">
        <v>30</v>
      </c>
      <c r="F131" s="4" t="s">
        <v>31</v>
      </c>
      <c r="G131" s="22" t="str">
        <f t="shared" si="25"/>
        <v>01/06/2021</v>
      </c>
      <c r="H131" s="4" t="s">
        <v>1</v>
      </c>
      <c r="I131" s="4" t="s">
        <v>0</v>
      </c>
      <c r="J131" s="1" t="s">
        <v>216</v>
      </c>
      <c r="K131" s="1" t="s">
        <v>215</v>
      </c>
      <c r="L131" s="1" t="s">
        <v>1021</v>
      </c>
      <c r="M131" s="1" t="s">
        <v>1021</v>
      </c>
      <c r="N131" s="1" t="s">
        <v>233</v>
      </c>
      <c r="O131" s="24" t="str">
        <f>+VLOOKUP(N131,'base de clientes'!A:B,2,0)</f>
        <v>SUPER REPUESTOS EL SALVADOR S.A DE C.V.</v>
      </c>
      <c r="P131" s="1" t="s">
        <v>2</v>
      </c>
      <c r="Q131" s="1" t="s">
        <v>2</v>
      </c>
      <c r="R131" s="3">
        <v>150</v>
      </c>
      <c r="S131" s="24">
        <f t="shared" si="21"/>
        <v>19.5</v>
      </c>
      <c r="T131" s="1" t="s">
        <v>2</v>
      </c>
      <c r="U131" s="1" t="s">
        <v>2</v>
      </c>
      <c r="V131" s="25">
        <f t="shared" si="26"/>
        <v>169.5</v>
      </c>
      <c r="W131" s="1" t="s">
        <v>1</v>
      </c>
    </row>
    <row r="132" spans="1:23" x14ac:dyDescent="0.25">
      <c r="A132" s="1" t="s">
        <v>843</v>
      </c>
      <c r="B132" s="1" t="s">
        <v>858</v>
      </c>
      <c r="C132" s="5" t="str">
        <f t="shared" si="23"/>
        <v>07</v>
      </c>
      <c r="D132" s="5" t="str">
        <f t="shared" si="24"/>
        <v>06</v>
      </c>
      <c r="E132" s="4" t="s">
        <v>30</v>
      </c>
      <c r="F132" s="4" t="s">
        <v>31</v>
      </c>
      <c r="G132" s="22" t="str">
        <f t="shared" si="25"/>
        <v>07/06/2021</v>
      </c>
      <c r="H132" s="4" t="s">
        <v>1</v>
      </c>
      <c r="I132" s="4" t="s">
        <v>0</v>
      </c>
      <c r="J132" s="1" t="s">
        <v>216</v>
      </c>
      <c r="K132" s="1" t="s">
        <v>215</v>
      </c>
      <c r="L132" s="1" t="s">
        <v>1022</v>
      </c>
      <c r="M132" s="1" t="s">
        <v>1022</v>
      </c>
      <c r="N132" s="1" t="s">
        <v>252</v>
      </c>
      <c r="O132" s="24" t="str">
        <f>+VLOOKUP(N132,'base de clientes'!A:B,2,0)</f>
        <v>BANCO AGRICOLA, S.A.</v>
      </c>
      <c r="P132" s="1" t="s">
        <v>2</v>
      </c>
      <c r="Q132" s="1" t="s">
        <v>2</v>
      </c>
      <c r="R132" s="3">
        <v>152.65</v>
      </c>
      <c r="S132" s="24">
        <f t="shared" si="21"/>
        <v>19.8445</v>
      </c>
      <c r="T132" s="1" t="s">
        <v>2</v>
      </c>
      <c r="U132" s="1" t="s">
        <v>2</v>
      </c>
      <c r="V132" s="25">
        <f t="shared" si="26"/>
        <v>172.49450000000002</v>
      </c>
      <c r="W132" s="1" t="s">
        <v>1</v>
      </c>
    </row>
    <row r="133" spans="1:23" x14ac:dyDescent="0.25">
      <c r="A133" s="1" t="s">
        <v>843</v>
      </c>
      <c r="B133" s="1" t="s">
        <v>858</v>
      </c>
      <c r="C133" s="5" t="str">
        <f t="shared" si="23"/>
        <v>07</v>
      </c>
      <c r="D133" s="5" t="str">
        <f t="shared" si="24"/>
        <v>06</v>
      </c>
      <c r="E133" s="4" t="s">
        <v>30</v>
      </c>
      <c r="F133" s="4" t="s">
        <v>31</v>
      </c>
      <c r="G133" s="22" t="str">
        <f t="shared" si="25"/>
        <v>07/06/2021</v>
      </c>
      <c r="H133" s="4" t="s">
        <v>1</v>
      </c>
      <c r="I133" s="4" t="s">
        <v>0</v>
      </c>
      <c r="J133" s="1" t="s">
        <v>216</v>
      </c>
      <c r="K133" s="1" t="s">
        <v>215</v>
      </c>
      <c r="L133" s="1" t="s">
        <v>1023</v>
      </c>
      <c r="M133" s="1" t="s">
        <v>1023</v>
      </c>
      <c r="N133" s="1" t="s">
        <v>252</v>
      </c>
      <c r="O133" s="24" t="str">
        <f>+VLOOKUP(N133,'base de clientes'!A:B,2,0)</f>
        <v>BANCO AGRICOLA, S.A.</v>
      </c>
      <c r="P133" s="1" t="s">
        <v>2</v>
      </c>
      <c r="Q133" s="1" t="s">
        <v>2</v>
      </c>
      <c r="R133" s="3">
        <v>152.65</v>
      </c>
      <c r="S133" s="24">
        <f t="shared" si="21"/>
        <v>19.8445</v>
      </c>
      <c r="T133" s="1" t="s">
        <v>2</v>
      </c>
      <c r="U133" s="1" t="s">
        <v>2</v>
      </c>
      <c r="V133" s="25">
        <f t="shared" si="26"/>
        <v>172.49450000000002</v>
      </c>
      <c r="W133" s="1" t="s">
        <v>1</v>
      </c>
    </row>
    <row r="134" spans="1:23" x14ac:dyDescent="0.25">
      <c r="A134" s="1" t="s">
        <v>843</v>
      </c>
      <c r="B134" s="1" t="s">
        <v>858</v>
      </c>
      <c r="C134" s="5" t="str">
        <f t="shared" si="23"/>
        <v>07</v>
      </c>
      <c r="D134" s="5" t="str">
        <f t="shared" si="24"/>
        <v>06</v>
      </c>
      <c r="E134" s="4" t="s">
        <v>30</v>
      </c>
      <c r="F134" s="4" t="s">
        <v>31</v>
      </c>
      <c r="G134" s="22" t="str">
        <f t="shared" si="25"/>
        <v>07/06/2021</v>
      </c>
      <c r="H134" s="4" t="s">
        <v>1</v>
      </c>
      <c r="I134" s="4" t="s">
        <v>0</v>
      </c>
      <c r="J134" s="1" t="s">
        <v>216</v>
      </c>
      <c r="K134" s="1" t="s">
        <v>215</v>
      </c>
      <c r="L134" s="1" t="s">
        <v>1024</v>
      </c>
      <c r="M134" s="1" t="s">
        <v>1024</v>
      </c>
      <c r="N134" s="1" t="s">
        <v>252</v>
      </c>
      <c r="O134" s="24" t="str">
        <f>+VLOOKUP(N134,'base de clientes'!A:B,2,0)</f>
        <v>BANCO AGRICOLA, S.A.</v>
      </c>
      <c r="P134" s="1" t="s">
        <v>2</v>
      </c>
      <c r="Q134" s="1" t="s">
        <v>2</v>
      </c>
      <c r="R134" s="3">
        <v>357.36</v>
      </c>
      <c r="S134" s="24">
        <f t="shared" si="21"/>
        <v>46.456800000000001</v>
      </c>
      <c r="T134" s="1" t="s">
        <v>2</v>
      </c>
      <c r="U134" s="1" t="s">
        <v>2</v>
      </c>
      <c r="V134" s="25">
        <f t="shared" si="26"/>
        <v>403.8168</v>
      </c>
      <c r="W134" s="1" t="s">
        <v>1</v>
      </c>
    </row>
    <row r="135" spans="1:23" x14ac:dyDescent="0.25">
      <c r="A135" s="1" t="s">
        <v>843</v>
      </c>
      <c r="B135" s="1" t="s">
        <v>858</v>
      </c>
      <c r="C135" s="5" t="str">
        <f t="shared" si="23"/>
        <v>07</v>
      </c>
      <c r="D135" s="5" t="str">
        <f t="shared" si="24"/>
        <v>06</v>
      </c>
      <c r="E135" s="4" t="s">
        <v>30</v>
      </c>
      <c r="F135" s="4" t="s">
        <v>31</v>
      </c>
      <c r="G135" s="22" t="str">
        <f t="shared" si="25"/>
        <v>07/06/2021</v>
      </c>
      <c r="H135" s="4" t="s">
        <v>1</v>
      </c>
      <c r="I135" s="4" t="s">
        <v>0</v>
      </c>
      <c r="J135" s="1" t="s">
        <v>216</v>
      </c>
      <c r="K135" s="1" t="s">
        <v>215</v>
      </c>
      <c r="L135" s="1" t="s">
        <v>1025</v>
      </c>
      <c r="M135" s="1" t="s">
        <v>1025</v>
      </c>
      <c r="N135" s="1" t="s">
        <v>230</v>
      </c>
      <c r="O135" s="24" t="str">
        <f>+VLOOKUP(N135,'base de clientes'!A:B,2,0)</f>
        <v>NEGOCIOS CAMYRAM S.A DE C.V</v>
      </c>
      <c r="P135" s="1" t="s">
        <v>2</v>
      </c>
      <c r="Q135" s="1" t="s">
        <v>2</v>
      </c>
      <c r="R135" s="3">
        <v>360.26</v>
      </c>
      <c r="S135" s="24">
        <f t="shared" si="21"/>
        <v>46.833800000000004</v>
      </c>
      <c r="T135" s="1" t="s">
        <v>2</v>
      </c>
      <c r="U135" s="1" t="s">
        <v>2</v>
      </c>
      <c r="V135" s="25">
        <f t="shared" si="26"/>
        <v>407.09379999999999</v>
      </c>
      <c r="W135" s="1" t="s">
        <v>1</v>
      </c>
    </row>
    <row r="136" spans="1:23" x14ac:dyDescent="0.25">
      <c r="A136" s="1" t="s">
        <v>843</v>
      </c>
      <c r="B136" s="1" t="s">
        <v>861</v>
      </c>
      <c r="C136" s="5" t="str">
        <f t="shared" si="23"/>
        <v>09</v>
      </c>
      <c r="D136" s="5" t="str">
        <f t="shared" si="24"/>
        <v>06</v>
      </c>
      <c r="E136" s="4" t="s">
        <v>30</v>
      </c>
      <c r="F136" s="4" t="s">
        <v>31</v>
      </c>
      <c r="G136" s="22" t="str">
        <f t="shared" si="25"/>
        <v>09/06/2021</v>
      </c>
      <c r="H136" s="4" t="s">
        <v>1</v>
      </c>
      <c r="I136" s="4" t="s">
        <v>0</v>
      </c>
      <c r="J136" s="1" t="s">
        <v>216</v>
      </c>
      <c r="K136" s="1" t="s">
        <v>215</v>
      </c>
      <c r="L136" s="1" t="s">
        <v>206</v>
      </c>
      <c r="M136" s="1" t="s">
        <v>206</v>
      </c>
      <c r="N136" s="1" t="s">
        <v>261</v>
      </c>
      <c r="O136" s="24" t="str">
        <f>+VLOOKUP(N136,'base de clientes'!A:B,2,0)</f>
        <v>ENMANUEL S.A DE C.V.</v>
      </c>
      <c r="P136" s="1" t="s">
        <v>2</v>
      </c>
      <c r="Q136" s="1" t="s">
        <v>2</v>
      </c>
      <c r="R136" s="3">
        <v>675</v>
      </c>
      <c r="S136" s="24">
        <f t="shared" si="21"/>
        <v>87.75</v>
      </c>
      <c r="T136" s="1" t="s">
        <v>2</v>
      </c>
      <c r="U136" s="1" t="s">
        <v>2</v>
      </c>
      <c r="V136" s="25">
        <f t="shared" si="26"/>
        <v>762.75</v>
      </c>
      <c r="W136" s="1" t="s">
        <v>1</v>
      </c>
    </row>
    <row r="137" spans="1:23" x14ac:dyDescent="0.25">
      <c r="A137" s="1" t="s">
        <v>843</v>
      </c>
      <c r="B137" s="1" t="s">
        <v>861</v>
      </c>
      <c r="C137" s="5" t="str">
        <f t="shared" si="23"/>
        <v>09</v>
      </c>
      <c r="D137" s="5" t="str">
        <f t="shared" si="24"/>
        <v>06</v>
      </c>
      <c r="E137" s="4" t="s">
        <v>30</v>
      </c>
      <c r="F137" s="4" t="s">
        <v>31</v>
      </c>
      <c r="G137" s="22" t="str">
        <f t="shared" si="25"/>
        <v>09/06/2021</v>
      </c>
      <c r="H137" s="4" t="s">
        <v>1</v>
      </c>
      <c r="I137" s="4" t="s">
        <v>0</v>
      </c>
      <c r="J137" s="1" t="s">
        <v>216</v>
      </c>
      <c r="K137" s="1" t="s">
        <v>215</v>
      </c>
      <c r="L137" s="1" t="s">
        <v>1026</v>
      </c>
      <c r="M137" s="1" t="s">
        <v>1026</v>
      </c>
      <c r="N137" s="1" t="s">
        <v>226</v>
      </c>
      <c r="O137" s="24" t="str">
        <f>+VLOOKUP(N137,'base de clientes'!A:B,2,0)</f>
        <v>GRUPO PAILL S.A DE C.V.</v>
      </c>
      <c r="P137" s="1" t="s">
        <v>2</v>
      </c>
      <c r="Q137" s="1" t="s">
        <v>2</v>
      </c>
      <c r="R137" s="3">
        <v>1292.76</v>
      </c>
      <c r="S137" s="24">
        <f t="shared" si="21"/>
        <v>168.05879999999999</v>
      </c>
      <c r="T137" s="1" t="s">
        <v>2</v>
      </c>
      <c r="U137" s="1" t="s">
        <v>2</v>
      </c>
      <c r="V137" s="25">
        <f t="shared" si="26"/>
        <v>1460.8188</v>
      </c>
      <c r="W137" s="1" t="s">
        <v>1</v>
      </c>
    </row>
    <row r="138" spans="1:23" x14ac:dyDescent="0.25">
      <c r="A138" s="1" t="s">
        <v>843</v>
      </c>
      <c r="B138" s="1" t="s">
        <v>861</v>
      </c>
      <c r="C138" s="5" t="str">
        <f t="shared" si="23"/>
        <v>09</v>
      </c>
      <c r="D138" s="5" t="str">
        <f t="shared" si="24"/>
        <v>06</v>
      </c>
      <c r="E138" s="4" t="s">
        <v>30</v>
      </c>
      <c r="F138" s="4" t="s">
        <v>31</v>
      </c>
      <c r="G138" s="22" t="str">
        <f t="shared" si="25"/>
        <v>09/06/2021</v>
      </c>
      <c r="H138" s="4" t="s">
        <v>1</v>
      </c>
      <c r="I138" s="4" t="s">
        <v>0</v>
      </c>
      <c r="J138" s="1" t="s">
        <v>216</v>
      </c>
      <c r="K138" s="1" t="s">
        <v>215</v>
      </c>
      <c r="L138" s="1" t="s">
        <v>1027</v>
      </c>
      <c r="M138" s="1" t="s">
        <v>1027</v>
      </c>
      <c r="N138" s="1" t="s">
        <v>224</v>
      </c>
      <c r="O138" s="24" t="str">
        <f>+VLOOKUP(N138,'base de clientes'!A:B,2,0)</f>
        <v>LA CONSTANCIA LTDA DE C.V.</v>
      </c>
      <c r="P138" s="1" t="s">
        <v>2</v>
      </c>
      <c r="Q138" s="1" t="s">
        <v>2</v>
      </c>
      <c r="R138" s="3">
        <v>154.75</v>
      </c>
      <c r="S138" s="24">
        <f t="shared" si="21"/>
        <v>20.1175</v>
      </c>
      <c r="T138" s="1" t="s">
        <v>2</v>
      </c>
      <c r="U138" s="1" t="s">
        <v>2</v>
      </c>
      <c r="V138" s="25">
        <f t="shared" si="26"/>
        <v>174.86750000000001</v>
      </c>
      <c r="W138" s="1" t="s">
        <v>1</v>
      </c>
    </row>
    <row r="139" spans="1:23" x14ac:dyDescent="0.25">
      <c r="A139" s="1" t="s">
        <v>843</v>
      </c>
      <c r="B139" s="1" t="s">
        <v>861</v>
      </c>
      <c r="C139" s="5" t="str">
        <f t="shared" si="23"/>
        <v>09</v>
      </c>
      <c r="D139" s="5" t="str">
        <f t="shared" si="24"/>
        <v>06</v>
      </c>
      <c r="E139" s="4" t="s">
        <v>30</v>
      </c>
      <c r="F139" s="4" t="s">
        <v>31</v>
      </c>
      <c r="G139" s="22" t="str">
        <f t="shared" si="25"/>
        <v>09/06/2021</v>
      </c>
      <c r="H139" s="4" t="s">
        <v>1</v>
      </c>
      <c r="I139" s="4" t="s">
        <v>0</v>
      </c>
      <c r="J139" s="1" t="s">
        <v>216</v>
      </c>
      <c r="K139" s="1" t="s">
        <v>215</v>
      </c>
      <c r="L139" s="1" t="s">
        <v>1028</v>
      </c>
      <c r="M139" s="1" t="s">
        <v>1028</v>
      </c>
      <c r="N139" s="1" t="s">
        <v>224</v>
      </c>
      <c r="O139" s="24" t="str">
        <f>+VLOOKUP(N139,'base de clientes'!A:B,2,0)</f>
        <v>LA CONSTANCIA LTDA DE C.V.</v>
      </c>
      <c r="P139" s="1" t="s">
        <v>2</v>
      </c>
      <c r="Q139" s="1" t="s">
        <v>2</v>
      </c>
      <c r="R139" s="3">
        <v>619.01</v>
      </c>
      <c r="S139" s="24">
        <f t="shared" si="21"/>
        <v>80.471299999999999</v>
      </c>
      <c r="T139" s="1" t="s">
        <v>2</v>
      </c>
      <c r="U139" s="1" t="s">
        <v>2</v>
      </c>
      <c r="V139" s="25">
        <f t="shared" si="26"/>
        <v>699.48130000000003</v>
      </c>
      <c r="W139" s="1" t="s">
        <v>1</v>
      </c>
    </row>
    <row r="140" spans="1:23" hidden="1" x14ac:dyDescent="0.25">
      <c r="A140" s="1" t="s">
        <v>843</v>
      </c>
      <c r="B140" s="1" t="s">
        <v>863</v>
      </c>
      <c r="C140" s="5" t="str">
        <f t="shared" si="23"/>
        <v>10</v>
      </c>
      <c r="D140" s="5" t="str">
        <f t="shared" si="24"/>
        <v>06</v>
      </c>
      <c r="E140" s="4" t="s">
        <v>30</v>
      </c>
      <c r="F140" s="4" t="s">
        <v>31</v>
      </c>
      <c r="G140" s="22" t="str">
        <f t="shared" si="25"/>
        <v>10/06/2021</v>
      </c>
      <c r="H140" s="4" t="s">
        <v>1</v>
      </c>
      <c r="I140" s="4" t="s">
        <v>0</v>
      </c>
      <c r="J140" s="1" t="s">
        <v>216</v>
      </c>
      <c r="K140" s="1" t="s">
        <v>215</v>
      </c>
      <c r="L140" s="1" t="s">
        <v>764</v>
      </c>
      <c r="M140" s="1" t="s">
        <v>764</v>
      </c>
      <c r="N140" s="1" t="s">
        <v>256</v>
      </c>
      <c r="O140" s="24" t="str">
        <f>+VLOOKUP(N140,'base de clientes'!A:B,2,0)</f>
        <v>ANULADO</v>
      </c>
      <c r="P140" s="1" t="s">
        <v>2</v>
      </c>
      <c r="Q140" s="1" t="s">
        <v>2</v>
      </c>
      <c r="R140" s="3">
        <f t="shared" ref="R140" si="27">+IF(O140="ANULADO",0,"")</f>
        <v>0</v>
      </c>
      <c r="S140" s="24">
        <f t="shared" si="21"/>
        <v>0</v>
      </c>
      <c r="T140" s="1" t="s">
        <v>2</v>
      </c>
      <c r="U140" s="1" t="s">
        <v>2</v>
      </c>
      <c r="V140" s="25">
        <f t="shared" si="26"/>
        <v>0</v>
      </c>
      <c r="W140" s="1" t="s">
        <v>1</v>
      </c>
    </row>
    <row r="141" spans="1:23" x14ac:dyDescent="0.25">
      <c r="A141" s="1" t="s">
        <v>843</v>
      </c>
      <c r="B141" s="1" t="s">
        <v>865</v>
      </c>
      <c r="C141" s="5" t="str">
        <f t="shared" si="23"/>
        <v>11</v>
      </c>
      <c r="D141" s="5" t="str">
        <f t="shared" si="24"/>
        <v>06</v>
      </c>
      <c r="E141" s="4" t="s">
        <v>30</v>
      </c>
      <c r="F141" s="4" t="s">
        <v>31</v>
      </c>
      <c r="G141" s="22" t="str">
        <f t="shared" si="25"/>
        <v>11/06/2021</v>
      </c>
      <c r="H141" s="4" t="s">
        <v>1</v>
      </c>
      <c r="I141" s="4" t="s">
        <v>0</v>
      </c>
      <c r="J141" s="1" t="s">
        <v>216</v>
      </c>
      <c r="K141" s="1" t="s">
        <v>215</v>
      </c>
      <c r="L141" s="1" t="s">
        <v>1029</v>
      </c>
      <c r="M141" s="1" t="s">
        <v>1029</v>
      </c>
      <c r="N141" s="1" t="s">
        <v>1041</v>
      </c>
      <c r="O141" s="24" t="str">
        <f>+VLOOKUP(N141,'base de clientes'!A:B,2,0)</f>
        <v>GRANJA EL ROBLE S.A DE C.V.</v>
      </c>
      <c r="P141" s="1" t="s">
        <v>2</v>
      </c>
      <c r="Q141" s="1" t="s">
        <v>2</v>
      </c>
      <c r="R141" s="3">
        <v>190</v>
      </c>
      <c r="S141" s="24">
        <f t="shared" si="21"/>
        <v>24.7</v>
      </c>
      <c r="T141" s="1" t="s">
        <v>2</v>
      </c>
      <c r="U141" s="1" t="s">
        <v>2</v>
      </c>
      <c r="V141" s="25">
        <f t="shared" si="26"/>
        <v>214.7</v>
      </c>
      <c r="W141" s="1" t="s">
        <v>1</v>
      </c>
    </row>
    <row r="142" spans="1:23" x14ac:dyDescent="0.25">
      <c r="A142" s="1" t="s">
        <v>843</v>
      </c>
      <c r="B142" s="1" t="s">
        <v>844</v>
      </c>
      <c r="C142" s="5" t="str">
        <f t="shared" si="23"/>
        <v>15</v>
      </c>
      <c r="D142" s="5" t="str">
        <f t="shared" si="24"/>
        <v>06</v>
      </c>
      <c r="E142" s="4" t="s">
        <v>30</v>
      </c>
      <c r="F142" s="4" t="s">
        <v>31</v>
      </c>
      <c r="G142" s="22" t="str">
        <f t="shared" si="25"/>
        <v>15/06/2021</v>
      </c>
      <c r="H142" s="4" t="s">
        <v>1</v>
      </c>
      <c r="I142" s="4" t="s">
        <v>0</v>
      </c>
      <c r="J142" s="1" t="s">
        <v>216</v>
      </c>
      <c r="K142" s="1" t="s">
        <v>215</v>
      </c>
      <c r="L142" s="1" t="s">
        <v>1030</v>
      </c>
      <c r="M142" s="1" t="s">
        <v>1030</v>
      </c>
      <c r="N142" s="1" t="s">
        <v>217</v>
      </c>
      <c r="O142" s="24" t="str">
        <f>+VLOOKUP(N142,'base de clientes'!A:B,2,0)</f>
        <v>OPERADORA DEL SUR, S. A. DE C.V.</v>
      </c>
      <c r="P142" s="1" t="s">
        <v>2</v>
      </c>
      <c r="Q142" s="1" t="s">
        <v>2</v>
      </c>
      <c r="R142" s="3">
        <v>7634.92</v>
      </c>
      <c r="S142" s="24">
        <f t="shared" si="21"/>
        <v>992.53960000000006</v>
      </c>
      <c r="T142" s="1" t="s">
        <v>2</v>
      </c>
      <c r="U142" s="1" t="s">
        <v>2</v>
      </c>
      <c r="V142" s="25">
        <f t="shared" si="26"/>
        <v>8627.4596000000001</v>
      </c>
      <c r="W142" s="1" t="s">
        <v>1</v>
      </c>
    </row>
    <row r="143" spans="1:23" x14ac:dyDescent="0.25">
      <c r="A143" s="1" t="s">
        <v>843</v>
      </c>
      <c r="B143" s="1" t="s">
        <v>844</v>
      </c>
      <c r="C143" s="5" t="str">
        <f t="shared" si="23"/>
        <v>15</v>
      </c>
      <c r="D143" s="5" t="str">
        <f t="shared" si="24"/>
        <v>06</v>
      </c>
      <c r="E143" s="4" t="s">
        <v>30</v>
      </c>
      <c r="F143" s="4" t="s">
        <v>31</v>
      </c>
      <c r="G143" s="22" t="str">
        <f t="shared" si="25"/>
        <v>15/06/2021</v>
      </c>
      <c r="H143" s="4" t="s">
        <v>1</v>
      </c>
      <c r="I143" s="4" t="s">
        <v>0</v>
      </c>
      <c r="J143" s="1" t="s">
        <v>216</v>
      </c>
      <c r="K143" s="1" t="s">
        <v>215</v>
      </c>
      <c r="L143" s="1" t="s">
        <v>1031</v>
      </c>
      <c r="M143" s="1" t="s">
        <v>1031</v>
      </c>
      <c r="N143" s="1" t="s">
        <v>217</v>
      </c>
      <c r="O143" s="24" t="str">
        <f>+VLOOKUP(N143,'base de clientes'!A:B,2,0)</f>
        <v>OPERADORA DEL SUR, S. A. DE C.V.</v>
      </c>
      <c r="P143" s="1" t="s">
        <v>2</v>
      </c>
      <c r="Q143" s="1" t="s">
        <v>2</v>
      </c>
      <c r="R143" s="3">
        <v>2147.04</v>
      </c>
      <c r="S143" s="24">
        <f t="shared" si="21"/>
        <v>279.11520000000002</v>
      </c>
      <c r="T143" s="1" t="s">
        <v>2</v>
      </c>
      <c r="U143" s="1" t="s">
        <v>2</v>
      </c>
      <c r="V143" s="25">
        <f t="shared" si="26"/>
        <v>2426.1552000000001</v>
      </c>
      <c r="W143" s="1" t="s">
        <v>1</v>
      </c>
    </row>
    <row r="144" spans="1:23" x14ac:dyDescent="0.25">
      <c r="A144" s="1" t="s">
        <v>843</v>
      </c>
      <c r="B144" s="1" t="s">
        <v>844</v>
      </c>
      <c r="C144" s="5" t="str">
        <f t="shared" si="23"/>
        <v>15</v>
      </c>
      <c r="D144" s="5" t="str">
        <f t="shared" si="24"/>
        <v>06</v>
      </c>
      <c r="E144" s="4" t="s">
        <v>30</v>
      </c>
      <c r="F144" s="4" t="s">
        <v>31</v>
      </c>
      <c r="G144" s="22" t="str">
        <f t="shared" si="25"/>
        <v>15/06/2021</v>
      </c>
      <c r="H144" s="4" t="s">
        <v>1</v>
      </c>
      <c r="I144" s="4" t="s">
        <v>0</v>
      </c>
      <c r="J144" s="1" t="s">
        <v>216</v>
      </c>
      <c r="K144" s="1" t="s">
        <v>215</v>
      </c>
      <c r="L144" s="1" t="s">
        <v>746</v>
      </c>
      <c r="M144" s="1" t="s">
        <v>746</v>
      </c>
      <c r="N144" s="1" t="s">
        <v>217</v>
      </c>
      <c r="O144" s="24" t="str">
        <f>+VLOOKUP(N144,'base de clientes'!A:B,2,0)</f>
        <v>OPERADORA DEL SUR, S. A. DE C.V.</v>
      </c>
      <c r="P144" s="1" t="s">
        <v>2</v>
      </c>
      <c r="Q144" s="1" t="s">
        <v>2</v>
      </c>
      <c r="R144" s="3">
        <v>500</v>
      </c>
      <c r="S144" s="24">
        <f t="shared" si="21"/>
        <v>65</v>
      </c>
      <c r="T144" s="1" t="s">
        <v>2</v>
      </c>
      <c r="U144" s="1" t="s">
        <v>2</v>
      </c>
      <c r="V144" s="25">
        <f t="shared" si="26"/>
        <v>565</v>
      </c>
      <c r="W144" s="1" t="s">
        <v>1</v>
      </c>
    </row>
    <row r="145" spans="1:23" x14ac:dyDescent="0.25">
      <c r="A145" s="1" t="s">
        <v>843</v>
      </c>
      <c r="B145" s="1" t="s">
        <v>844</v>
      </c>
      <c r="C145" s="5" t="str">
        <f t="shared" si="23"/>
        <v>15</v>
      </c>
      <c r="D145" s="5" t="str">
        <f t="shared" si="24"/>
        <v>06</v>
      </c>
      <c r="E145" s="4" t="s">
        <v>30</v>
      </c>
      <c r="F145" s="4" t="s">
        <v>31</v>
      </c>
      <c r="G145" s="22" t="str">
        <f t="shared" si="25"/>
        <v>15/06/2021</v>
      </c>
      <c r="H145" s="4" t="s">
        <v>1</v>
      </c>
      <c r="I145" s="4" t="s">
        <v>0</v>
      </c>
      <c r="J145" s="1" t="s">
        <v>216</v>
      </c>
      <c r="K145" s="1" t="s">
        <v>215</v>
      </c>
      <c r="L145" s="1" t="s">
        <v>1032</v>
      </c>
      <c r="M145" s="1" t="s">
        <v>1032</v>
      </c>
      <c r="N145" s="1" t="s">
        <v>217</v>
      </c>
      <c r="O145" s="24" t="str">
        <f>+VLOOKUP(N145,'base de clientes'!A:B,2,0)</f>
        <v>OPERADORA DEL SUR, S. A. DE C.V.</v>
      </c>
      <c r="P145" s="1" t="s">
        <v>2</v>
      </c>
      <c r="Q145" s="1" t="s">
        <v>2</v>
      </c>
      <c r="R145" s="3">
        <v>550</v>
      </c>
      <c r="S145" s="24">
        <f t="shared" si="21"/>
        <v>71.5</v>
      </c>
      <c r="T145" s="1" t="s">
        <v>2</v>
      </c>
      <c r="U145" s="1" t="s">
        <v>2</v>
      </c>
      <c r="V145" s="25">
        <f t="shared" si="26"/>
        <v>621.5</v>
      </c>
      <c r="W145" s="1" t="s">
        <v>1</v>
      </c>
    </row>
    <row r="146" spans="1:23" x14ac:dyDescent="0.25">
      <c r="A146" s="1" t="s">
        <v>843</v>
      </c>
      <c r="B146" s="1" t="s">
        <v>844</v>
      </c>
      <c r="C146" s="5" t="str">
        <f t="shared" si="23"/>
        <v>15</v>
      </c>
      <c r="D146" s="5" t="str">
        <f t="shared" si="24"/>
        <v>06</v>
      </c>
      <c r="E146" s="4" t="s">
        <v>30</v>
      </c>
      <c r="F146" s="4" t="s">
        <v>31</v>
      </c>
      <c r="G146" s="22" t="str">
        <f t="shared" si="25"/>
        <v>15/06/2021</v>
      </c>
      <c r="H146" s="4" t="s">
        <v>1</v>
      </c>
      <c r="I146" s="4" t="s">
        <v>0</v>
      </c>
      <c r="J146" s="1" t="s">
        <v>216</v>
      </c>
      <c r="K146" s="1" t="s">
        <v>215</v>
      </c>
      <c r="L146" s="1" t="s">
        <v>1033</v>
      </c>
      <c r="M146" s="1" t="s">
        <v>1033</v>
      </c>
      <c r="N146" s="1" t="s">
        <v>217</v>
      </c>
      <c r="O146" s="24" t="str">
        <f>+VLOOKUP(N146,'base de clientes'!A:B,2,0)</f>
        <v>OPERADORA DEL SUR, S. A. DE C.V.</v>
      </c>
      <c r="P146" s="1" t="s">
        <v>2</v>
      </c>
      <c r="Q146" s="1" t="s">
        <v>2</v>
      </c>
      <c r="R146" s="3">
        <v>281.27999999999997</v>
      </c>
      <c r="S146" s="24">
        <f t="shared" si="21"/>
        <v>36.566399999999994</v>
      </c>
      <c r="T146" s="1" t="s">
        <v>2</v>
      </c>
      <c r="U146" s="1" t="s">
        <v>2</v>
      </c>
      <c r="V146" s="25">
        <f t="shared" si="26"/>
        <v>317.84639999999996</v>
      </c>
      <c r="W146" s="1" t="s">
        <v>1</v>
      </c>
    </row>
    <row r="147" spans="1:23" x14ac:dyDescent="0.25">
      <c r="A147" s="1" t="s">
        <v>843</v>
      </c>
      <c r="B147" s="1" t="s">
        <v>844</v>
      </c>
      <c r="C147" s="5" t="str">
        <f t="shared" si="23"/>
        <v>15</v>
      </c>
      <c r="D147" s="5" t="str">
        <f t="shared" si="24"/>
        <v>06</v>
      </c>
      <c r="E147" s="4" t="s">
        <v>30</v>
      </c>
      <c r="F147" s="4" t="s">
        <v>31</v>
      </c>
      <c r="G147" s="22" t="str">
        <f t="shared" si="25"/>
        <v>15/06/2021</v>
      </c>
      <c r="H147" s="4" t="s">
        <v>1</v>
      </c>
      <c r="I147" s="4" t="s">
        <v>0</v>
      </c>
      <c r="J147" s="1" t="s">
        <v>216</v>
      </c>
      <c r="K147" s="1" t="s">
        <v>215</v>
      </c>
      <c r="L147" s="1" t="s">
        <v>1034</v>
      </c>
      <c r="M147" s="1" t="s">
        <v>1034</v>
      </c>
      <c r="N147" s="1" t="s">
        <v>235</v>
      </c>
      <c r="O147" s="24" t="str">
        <f>+VLOOKUP(N147,'base de clientes'!A:B,2,0)</f>
        <v>UNILEVER EL SALVADOR SCC S.A DE C.V.</v>
      </c>
      <c r="P147" s="1" t="s">
        <v>2</v>
      </c>
      <c r="Q147" s="1" t="s">
        <v>2</v>
      </c>
      <c r="R147" s="3">
        <v>1235.42</v>
      </c>
      <c r="S147" s="24">
        <f t="shared" si="21"/>
        <v>160.6046</v>
      </c>
      <c r="T147" s="1" t="s">
        <v>2</v>
      </c>
      <c r="U147" s="1" t="s">
        <v>2</v>
      </c>
      <c r="V147" s="25">
        <f t="shared" si="26"/>
        <v>1396.0246000000002</v>
      </c>
      <c r="W147" s="1" t="s">
        <v>1</v>
      </c>
    </row>
    <row r="148" spans="1:23" x14ac:dyDescent="0.25">
      <c r="A148" s="1" t="s">
        <v>843</v>
      </c>
      <c r="B148" s="1" t="s">
        <v>881</v>
      </c>
      <c r="C148" s="5" t="str">
        <f t="shared" si="23"/>
        <v>21</v>
      </c>
      <c r="D148" s="5" t="str">
        <f t="shared" si="24"/>
        <v>06</v>
      </c>
      <c r="E148" s="4" t="s">
        <v>30</v>
      </c>
      <c r="F148" s="4" t="s">
        <v>31</v>
      </c>
      <c r="G148" s="22" t="str">
        <f t="shared" si="25"/>
        <v>21/06/2021</v>
      </c>
      <c r="H148" s="4" t="s">
        <v>1</v>
      </c>
      <c r="I148" s="4" t="s">
        <v>0</v>
      </c>
      <c r="J148" s="1" t="s">
        <v>216</v>
      </c>
      <c r="K148" s="1" t="s">
        <v>215</v>
      </c>
      <c r="L148" s="1" t="s">
        <v>1035</v>
      </c>
      <c r="M148" s="1" t="s">
        <v>1035</v>
      </c>
      <c r="N148" s="1" t="s">
        <v>269</v>
      </c>
      <c r="O148" s="24" t="str">
        <f>+VLOOKUP(N148,'base de clientes'!A:B,2,0)</f>
        <v>INVERSIONES STANLEY PACIFICO S.A DE C.V.</v>
      </c>
      <c r="P148" s="1" t="s">
        <v>2</v>
      </c>
      <c r="Q148" s="1" t="s">
        <v>2</v>
      </c>
      <c r="R148" s="3">
        <v>386.64</v>
      </c>
      <c r="S148" s="24">
        <f t="shared" si="21"/>
        <v>50.263199999999998</v>
      </c>
      <c r="T148" s="1" t="s">
        <v>2</v>
      </c>
      <c r="U148" s="1" t="s">
        <v>2</v>
      </c>
      <c r="V148" s="25">
        <f t="shared" si="26"/>
        <v>436.90319999999997</v>
      </c>
      <c r="W148" s="1" t="s">
        <v>1</v>
      </c>
    </row>
    <row r="149" spans="1:23" x14ac:dyDescent="0.25">
      <c r="A149" s="1" t="s">
        <v>843</v>
      </c>
      <c r="B149" s="1" t="s">
        <v>881</v>
      </c>
      <c r="C149" s="5" t="str">
        <f t="shared" si="23"/>
        <v>21</v>
      </c>
      <c r="D149" s="5" t="str">
        <f t="shared" si="24"/>
        <v>06</v>
      </c>
      <c r="E149" s="4" t="s">
        <v>30</v>
      </c>
      <c r="F149" s="4" t="s">
        <v>31</v>
      </c>
      <c r="G149" s="22" t="str">
        <f t="shared" si="25"/>
        <v>21/06/2021</v>
      </c>
      <c r="H149" s="4" t="s">
        <v>1</v>
      </c>
      <c r="I149" s="4" t="s">
        <v>0</v>
      </c>
      <c r="J149" s="1" t="s">
        <v>216</v>
      </c>
      <c r="K149" s="1" t="s">
        <v>215</v>
      </c>
      <c r="L149" s="1" t="s">
        <v>1036</v>
      </c>
      <c r="M149" s="1" t="s">
        <v>1036</v>
      </c>
      <c r="N149" s="1" t="s">
        <v>219</v>
      </c>
      <c r="O149" s="24" t="str">
        <f>+VLOOKUP(N149,'base de clientes'!A:B,2,0)</f>
        <v>NEMTEX S.A DE C.V.</v>
      </c>
      <c r="P149" s="1" t="s">
        <v>2</v>
      </c>
      <c r="Q149" s="1" t="s">
        <v>2</v>
      </c>
      <c r="R149" s="3">
        <v>255.92</v>
      </c>
      <c r="S149" s="24">
        <f t="shared" si="21"/>
        <v>33.269599999999997</v>
      </c>
      <c r="T149" s="1" t="s">
        <v>2</v>
      </c>
      <c r="U149" s="1" t="s">
        <v>2</v>
      </c>
      <c r="V149" s="25">
        <f t="shared" si="26"/>
        <v>289.18959999999998</v>
      </c>
      <c r="W149" s="1" t="s">
        <v>1</v>
      </c>
    </row>
    <row r="150" spans="1:23" x14ac:dyDescent="0.25">
      <c r="A150" s="1" t="s">
        <v>843</v>
      </c>
      <c r="B150" s="1" t="s">
        <v>881</v>
      </c>
      <c r="C150" s="5" t="str">
        <f t="shared" si="23"/>
        <v>21</v>
      </c>
      <c r="D150" s="5" t="str">
        <f t="shared" si="24"/>
        <v>06</v>
      </c>
      <c r="E150" s="4" t="s">
        <v>30</v>
      </c>
      <c r="F150" s="4" t="s">
        <v>31</v>
      </c>
      <c r="G150" s="22" t="str">
        <f t="shared" si="25"/>
        <v>21/06/2021</v>
      </c>
      <c r="H150" s="4" t="s">
        <v>1</v>
      </c>
      <c r="I150" s="4" t="s">
        <v>0</v>
      </c>
      <c r="J150" s="1" t="s">
        <v>216</v>
      </c>
      <c r="K150" s="1" t="s">
        <v>215</v>
      </c>
      <c r="L150" s="1" t="s">
        <v>1037</v>
      </c>
      <c r="M150" s="1" t="s">
        <v>1037</v>
      </c>
      <c r="N150" s="1" t="s">
        <v>304</v>
      </c>
      <c r="O150" s="24" t="str">
        <f>+VLOOKUP(N150,'base de clientes'!A:B,2,0)</f>
        <v>INDUSTRIAS MIKE MIKE S.A DE C.V.</v>
      </c>
      <c r="P150" s="1" t="s">
        <v>2</v>
      </c>
      <c r="Q150" s="1" t="s">
        <v>2</v>
      </c>
      <c r="R150" s="3">
        <v>165.92</v>
      </c>
      <c r="S150" s="24">
        <f t="shared" si="21"/>
        <v>21.569599999999998</v>
      </c>
      <c r="T150" s="1" t="s">
        <v>2</v>
      </c>
      <c r="U150" s="1" t="s">
        <v>2</v>
      </c>
      <c r="V150" s="25">
        <f t="shared" si="26"/>
        <v>187.4896</v>
      </c>
      <c r="W150" s="1" t="s">
        <v>1</v>
      </c>
    </row>
    <row r="151" spans="1:23" x14ac:dyDescent="0.25">
      <c r="A151" s="1" t="s">
        <v>843</v>
      </c>
      <c r="B151" s="1" t="s">
        <v>881</v>
      </c>
      <c r="C151" s="5" t="str">
        <f t="shared" si="23"/>
        <v>21</v>
      </c>
      <c r="D151" s="5" t="str">
        <f t="shared" si="24"/>
        <v>06</v>
      </c>
      <c r="E151" s="4" t="s">
        <v>30</v>
      </c>
      <c r="F151" s="4" t="s">
        <v>31</v>
      </c>
      <c r="G151" s="22" t="str">
        <f t="shared" si="25"/>
        <v>21/06/2021</v>
      </c>
      <c r="H151" s="4" t="s">
        <v>1</v>
      </c>
      <c r="I151" s="4" t="s">
        <v>0</v>
      </c>
      <c r="J151" s="1" t="s">
        <v>216</v>
      </c>
      <c r="K151" s="1" t="s">
        <v>215</v>
      </c>
      <c r="L151" s="1" t="s">
        <v>1038</v>
      </c>
      <c r="M151" s="1" t="s">
        <v>1038</v>
      </c>
      <c r="N151" s="1" t="s">
        <v>213</v>
      </c>
      <c r="O151" s="24" t="str">
        <f>+VLOOKUP(N151,'base de clientes'!A:B,2,0)</f>
        <v>PRODUCTOS CARNICOS S.A DE C.V.</v>
      </c>
      <c r="P151" s="1" t="s">
        <v>2</v>
      </c>
      <c r="Q151" s="1" t="s">
        <v>2</v>
      </c>
      <c r="R151" s="3">
        <v>344.6</v>
      </c>
      <c r="S151" s="24">
        <f t="shared" si="21"/>
        <v>44.798000000000002</v>
      </c>
      <c r="T151" s="1" t="s">
        <v>2</v>
      </c>
      <c r="U151" s="1" t="s">
        <v>2</v>
      </c>
      <c r="V151" s="25">
        <f t="shared" si="26"/>
        <v>389.39800000000002</v>
      </c>
      <c r="W151" s="1" t="s">
        <v>1</v>
      </c>
    </row>
    <row r="152" spans="1:23" x14ac:dyDescent="0.25">
      <c r="A152" s="1" t="s">
        <v>843</v>
      </c>
      <c r="B152" s="1" t="s">
        <v>66</v>
      </c>
      <c r="C152" s="5" t="str">
        <f t="shared" si="23"/>
        <v>28</v>
      </c>
      <c r="D152" s="5" t="str">
        <f t="shared" si="24"/>
        <v>06</v>
      </c>
      <c r="E152" s="4" t="s">
        <v>30</v>
      </c>
      <c r="F152" s="4" t="s">
        <v>31</v>
      </c>
      <c r="G152" s="22" t="str">
        <f t="shared" si="25"/>
        <v>28/06/2021</v>
      </c>
      <c r="H152" s="4" t="s">
        <v>1</v>
      </c>
      <c r="I152" s="4" t="s">
        <v>0</v>
      </c>
      <c r="J152" s="1" t="s">
        <v>216</v>
      </c>
      <c r="K152" s="1" t="s">
        <v>215</v>
      </c>
      <c r="L152" s="1" t="s">
        <v>1039</v>
      </c>
      <c r="M152" s="1" t="s">
        <v>1039</v>
      </c>
      <c r="N152" s="1" t="s">
        <v>213</v>
      </c>
      <c r="O152" s="24" t="str">
        <f>+VLOOKUP(N152,'base de clientes'!A:B,2,0)</f>
        <v>PRODUCTOS CARNICOS S.A DE C.V.</v>
      </c>
      <c r="P152" s="1" t="s">
        <v>2</v>
      </c>
      <c r="Q152" s="1" t="s">
        <v>2</v>
      </c>
      <c r="R152" s="3">
        <v>2521.4</v>
      </c>
      <c r="S152" s="24">
        <f t="shared" si="21"/>
        <v>327.78200000000004</v>
      </c>
      <c r="T152" s="1" t="s">
        <v>2</v>
      </c>
      <c r="U152" s="1" t="s">
        <v>2</v>
      </c>
      <c r="V152" s="25">
        <f t="shared" si="26"/>
        <v>2849.1820000000002</v>
      </c>
      <c r="W152" s="1" t="s">
        <v>1</v>
      </c>
    </row>
    <row r="153" spans="1:23" x14ac:dyDescent="0.25">
      <c r="A153" s="1" t="s">
        <v>843</v>
      </c>
      <c r="B153" s="1" t="s">
        <v>66</v>
      </c>
      <c r="C153" s="5" t="str">
        <f t="shared" si="23"/>
        <v>28</v>
      </c>
      <c r="D153" s="5" t="str">
        <f t="shared" si="24"/>
        <v>06</v>
      </c>
      <c r="E153" s="4" t="s">
        <v>30</v>
      </c>
      <c r="F153" s="4" t="s">
        <v>31</v>
      </c>
      <c r="G153" s="22" t="str">
        <f t="shared" si="25"/>
        <v>28/06/2021</v>
      </c>
      <c r="H153" s="4" t="s">
        <v>1</v>
      </c>
      <c r="I153" s="4" t="s">
        <v>0</v>
      </c>
      <c r="J153" s="1" t="s">
        <v>216</v>
      </c>
      <c r="K153" s="1" t="s">
        <v>215</v>
      </c>
      <c r="L153" s="1" t="s">
        <v>1040</v>
      </c>
      <c r="M153" s="1" t="s">
        <v>1040</v>
      </c>
      <c r="N153" s="1" t="s">
        <v>217</v>
      </c>
      <c r="O153" s="24" t="str">
        <f>+VLOOKUP(N153,'base de clientes'!A:B,2,0)</f>
        <v>OPERADORA DEL SUR, S. A. DE C.V.</v>
      </c>
      <c r="P153" s="1" t="s">
        <v>2</v>
      </c>
      <c r="Q153" s="1" t="s">
        <v>2</v>
      </c>
      <c r="R153" s="3">
        <v>1292.44</v>
      </c>
      <c r="S153" s="24">
        <f t="shared" si="21"/>
        <v>168.0172</v>
      </c>
      <c r="T153" s="1" t="s">
        <v>2</v>
      </c>
      <c r="U153" s="1" t="s">
        <v>2</v>
      </c>
      <c r="V153" s="25">
        <f t="shared" si="26"/>
        <v>1460.4572000000001</v>
      </c>
      <c r="W153" s="1" t="s">
        <v>1</v>
      </c>
    </row>
    <row r="154" spans="1:23" x14ac:dyDescent="0.25">
      <c r="A154" s="1" t="s">
        <v>1145</v>
      </c>
      <c r="B154" s="1" t="s">
        <v>1146</v>
      </c>
      <c r="C154" s="5" t="str">
        <f t="shared" ref="C154:C189" si="28">+LEFT(B154,2)</f>
        <v>01</v>
      </c>
      <c r="D154" s="5" t="str">
        <f t="shared" ref="D154:D189" si="29">+RIGHT(B154,2)</f>
        <v>07</v>
      </c>
      <c r="E154" s="4" t="s">
        <v>30</v>
      </c>
      <c r="F154" s="4" t="s">
        <v>31</v>
      </c>
      <c r="G154" s="22" t="str">
        <f t="shared" ref="G154:G189" si="30">+C154&amp;F154&amp;D154&amp;F154&amp;E154</f>
        <v>01/07/2021</v>
      </c>
      <c r="H154" s="4" t="s">
        <v>1</v>
      </c>
      <c r="I154" s="4" t="s">
        <v>0</v>
      </c>
      <c r="J154" s="1" t="s">
        <v>216</v>
      </c>
      <c r="K154" s="1" t="s">
        <v>215</v>
      </c>
      <c r="L154" s="1" t="s">
        <v>1340</v>
      </c>
      <c r="M154" s="1" t="s">
        <v>1340</v>
      </c>
      <c r="N154" s="1" t="s">
        <v>650</v>
      </c>
      <c r="O154" s="24" t="str">
        <f>+VLOOKUP(N154,'base de clientes'!A:B,2,0)</f>
        <v>ESTABLECIMIENTOS ANCALMO, S.A DE C.V</v>
      </c>
      <c r="P154" s="1" t="s">
        <v>2</v>
      </c>
      <c r="Q154" s="1" t="s">
        <v>2</v>
      </c>
      <c r="R154" s="3">
        <v>143.63999999999999</v>
      </c>
      <c r="S154" s="24">
        <f t="shared" ref="S154:S189" si="31">+R154*0.13</f>
        <v>18.673199999999998</v>
      </c>
      <c r="T154" s="1" t="s">
        <v>2</v>
      </c>
      <c r="U154" s="1" t="s">
        <v>2</v>
      </c>
      <c r="V154" s="25">
        <f t="shared" ref="V154:V189" si="32">+R154+S154</f>
        <v>162.31319999999999</v>
      </c>
      <c r="W154" s="1" t="s">
        <v>1</v>
      </c>
    </row>
    <row r="155" spans="1:23" x14ac:dyDescent="0.25">
      <c r="A155" s="1" t="s">
        <v>1145</v>
      </c>
      <c r="B155" s="1" t="s">
        <v>1146</v>
      </c>
      <c r="C155" s="5" t="str">
        <f t="shared" si="28"/>
        <v>01</v>
      </c>
      <c r="D155" s="5" t="str">
        <f t="shared" si="29"/>
        <v>07</v>
      </c>
      <c r="E155" s="4" t="s">
        <v>30</v>
      </c>
      <c r="F155" s="4" t="s">
        <v>31</v>
      </c>
      <c r="G155" s="22" t="str">
        <f t="shared" si="30"/>
        <v>01/07/2021</v>
      </c>
      <c r="H155" s="4" t="s">
        <v>1</v>
      </c>
      <c r="I155" s="4" t="s">
        <v>0</v>
      </c>
      <c r="J155" s="1" t="s">
        <v>216</v>
      </c>
      <c r="K155" s="1" t="s">
        <v>215</v>
      </c>
      <c r="L155" s="1" t="s">
        <v>1341</v>
      </c>
      <c r="M155" s="1" t="s">
        <v>1341</v>
      </c>
      <c r="N155" s="1" t="s">
        <v>226</v>
      </c>
      <c r="O155" s="24" t="str">
        <f>+VLOOKUP(N155,'base de clientes'!A:B,2,0)</f>
        <v>GRUPO PAILL S.A DE C.V.</v>
      </c>
      <c r="P155" s="1" t="s">
        <v>2</v>
      </c>
      <c r="Q155" s="1" t="s">
        <v>2</v>
      </c>
      <c r="R155" s="3">
        <v>1292.76</v>
      </c>
      <c r="S155" s="24">
        <f t="shared" si="31"/>
        <v>168.05879999999999</v>
      </c>
      <c r="T155" s="1" t="s">
        <v>2</v>
      </c>
      <c r="U155" s="1" t="s">
        <v>2</v>
      </c>
      <c r="V155" s="25">
        <f t="shared" si="32"/>
        <v>1460.8188</v>
      </c>
      <c r="W155" s="1" t="s">
        <v>1</v>
      </c>
    </row>
    <row r="156" spans="1:23" x14ac:dyDescent="0.25">
      <c r="A156" s="1" t="s">
        <v>1145</v>
      </c>
      <c r="B156" s="1" t="s">
        <v>1146</v>
      </c>
      <c r="C156" s="5" t="str">
        <f t="shared" si="28"/>
        <v>01</v>
      </c>
      <c r="D156" s="5" t="str">
        <f t="shared" si="29"/>
        <v>07</v>
      </c>
      <c r="E156" s="4" t="s">
        <v>30</v>
      </c>
      <c r="F156" s="4" t="s">
        <v>31</v>
      </c>
      <c r="G156" s="22" t="str">
        <f t="shared" si="30"/>
        <v>01/07/2021</v>
      </c>
      <c r="H156" s="4" t="s">
        <v>1</v>
      </c>
      <c r="I156" s="4" t="s">
        <v>0</v>
      </c>
      <c r="J156" s="1" t="s">
        <v>216</v>
      </c>
      <c r="K156" s="1" t="s">
        <v>215</v>
      </c>
      <c r="L156" s="1" t="s">
        <v>1342</v>
      </c>
      <c r="M156" s="1" t="s">
        <v>1342</v>
      </c>
      <c r="N156" s="1" t="s">
        <v>252</v>
      </c>
      <c r="O156" s="24" t="str">
        <f>+VLOOKUP(N156,'base de clientes'!A:B,2,0)</f>
        <v>BANCO AGRICOLA, S.A.</v>
      </c>
      <c r="P156" s="1" t="s">
        <v>2</v>
      </c>
      <c r="Q156" s="1" t="s">
        <v>2</v>
      </c>
      <c r="R156" s="3">
        <v>152.65</v>
      </c>
      <c r="S156" s="24">
        <f t="shared" si="31"/>
        <v>19.8445</v>
      </c>
      <c r="T156" s="1" t="s">
        <v>2</v>
      </c>
      <c r="U156" s="1" t="s">
        <v>2</v>
      </c>
      <c r="V156" s="25">
        <f t="shared" si="32"/>
        <v>172.49450000000002</v>
      </c>
      <c r="W156" s="1" t="s">
        <v>1</v>
      </c>
    </row>
    <row r="157" spans="1:23" x14ac:dyDescent="0.25">
      <c r="A157" s="1" t="s">
        <v>1145</v>
      </c>
      <c r="B157" s="1" t="s">
        <v>1146</v>
      </c>
      <c r="C157" s="5" t="str">
        <f t="shared" si="28"/>
        <v>01</v>
      </c>
      <c r="D157" s="5" t="str">
        <f t="shared" si="29"/>
        <v>07</v>
      </c>
      <c r="E157" s="4" t="s">
        <v>30</v>
      </c>
      <c r="F157" s="4" t="s">
        <v>31</v>
      </c>
      <c r="G157" s="22" t="str">
        <f t="shared" si="30"/>
        <v>01/07/2021</v>
      </c>
      <c r="H157" s="4" t="s">
        <v>1</v>
      </c>
      <c r="I157" s="4" t="s">
        <v>0</v>
      </c>
      <c r="J157" s="1" t="s">
        <v>216</v>
      </c>
      <c r="K157" s="1" t="s">
        <v>215</v>
      </c>
      <c r="L157" s="1" t="s">
        <v>1343</v>
      </c>
      <c r="M157" s="1" t="s">
        <v>1343</v>
      </c>
      <c r="N157" s="1" t="s">
        <v>252</v>
      </c>
      <c r="O157" s="24" t="str">
        <f>+VLOOKUP(N157,'base de clientes'!A:B,2,0)</f>
        <v>BANCO AGRICOLA, S.A.</v>
      </c>
      <c r="P157" s="1" t="s">
        <v>2</v>
      </c>
      <c r="Q157" s="1" t="s">
        <v>2</v>
      </c>
      <c r="R157" s="3">
        <v>152.65</v>
      </c>
      <c r="S157" s="24">
        <f t="shared" si="31"/>
        <v>19.8445</v>
      </c>
      <c r="T157" s="1" t="s">
        <v>2</v>
      </c>
      <c r="U157" s="1" t="s">
        <v>2</v>
      </c>
      <c r="V157" s="25">
        <f t="shared" si="32"/>
        <v>172.49450000000002</v>
      </c>
      <c r="W157" s="1" t="s">
        <v>1</v>
      </c>
    </row>
    <row r="158" spans="1:23" x14ac:dyDescent="0.25">
      <c r="A158" s="1" t="s">
        <v>1145</v>
      </c>
      <c r="B158" s="1" t="s">
        <v>1146</v>
      </c>
      <c r="C158" s="5" t="str">
        <f t="shared" si="28"/>
        <v>01</v>
      </c>
      <c r="D158" s="5" t="str">
        <f t="shared" si="29"/>
        <v>07</v>
      </c>
      <c r="E158" s="4" t="s">
        <v>30</v>
      </c>
      <c r="F158" s="4" t="s">
        <v>31</v>
      </c>
      <c r="G158" s="22" t="str">
        <f t="shared" si="30"/>
        <v>01/07/2021</v>
      </c>
      <c r="H158" s="4" t="s">
        <v>1</v>
      </c>
      <c r="I158" s="4" t="s">
        <v>0</v>
      </c>
      <c r="J158" s="1" t="s">
        <v>216</v>
      </c>
      <c r="K158" s="1" t="s">
        <v>215</v>
      </c>
      <c r="L158" s="1" t="s">
        <v>1344</v>
      </c>
      <c r="M158" s="1" t="s">
        <v>1344</v>
      </c>
      <c r="N158" s="1" t="s">
        <v>252</v>
      </c>
      <c r="O158" s="24" t="str">
        <f>+VLOOKUP(N158,'base de clientes'!A:B,2,0)</f>
        <v>BANCO AGRICOLA, S.A.</v>
      </c>
      <c r="P158" s="1" t="s">
        <v>2</v>
      </c>
      <c r="Q158" s="1" t="s">
        <v>2</v>
      </c>
      <c r="R158" s="3">
        <v>357.36</v>
      </c>
      <c r="S158" s="24">
        <f t="shared" si="31"/>
        <v>46.456800000000001</v>
      </c>
      <c r="T158" s="1" t="s">
        <v>2</v>
      </c>
      <c r="U158" s="1" t="s">
        <v>2</v>
      </c>
      <c r="V158" s="25">
        <f t="shared" si="32"/>
        <v>403.8168</v>
      </c>
      <c r="W158" s="1" t="s">
        <v>1</v>
      </c>
    </row>
    <row r="159" spans="1:23" x14ac:dyDescent="0.25">
      <c r="A159" s="1" t="s">
        <v>1145</v>
      </c>
      <c r="B159" s="1" t="s">
        <v>1160</v>
      </c>
      <c r="C159" s="5" t="str">
        <f t="shared" si="28"/>
        <v>09</v>
      </c>
      <c r="D159" s="5" t="str">
        <f t="shared" si="29"/>
        <v>07</v>
      </c>
      <c r="E159" s="4" t="s">
        <v>30</v>
      </c>
      <c r="F159" s="4" t="s">
        <v>31</v>
      </c>
      <c r="G159" s="22" t="str">
        <f t="shared" si="30"/>
        <v>09/07/2021</v>
      </c>
      <c r="H159" s="4" t="s">
        <v>1</v>
      </c>
      <c r="I159" s="4" t="s">
        <v>0</v>
      </c>
      <c r="J159" s="1" t="s">
        <v>216</v>
      </c>
      <c r="K159" s="1" t="s">
        <v>215</v>
      </c>
      <c r="L159" s="1" t="s">
        <v>1345</v>
      </c>
      <c r="M159" s="1" t="s">
        <v>1345</v>
      </c>
      <c r="N159" s="1" t="s">
        <v>228</v>
      </c>
      <c r="O159" s="24" t="str">
        <f>+VLOOKUP(N159,'base de clientes'!A:B,2,0)</f>
        <v>POLYBAG S.A DE C.V.</v>
      </c>
      <c r="P159" s="1" t="s">
        <v>2</v>
      </c>
      <c r="Q159" s="1" t="s">
        <v>2</v>
      </c>
      <c r="R159" s="3">
        <v>630</v>
      </c>
      <c r="S159" s="24">
        <f t="shared" si="31"/>
        <v>81.900000000000006</v>
      </c>
      <c r="T159" s="1" t="s">
        <v>2</v>
      </c>
      <c r="U159" s="1" t="s">
        <v>2</v>
      </c>
      <c r="V159" s="25">
        <f t="shared" si="32"/>
        <v>711.9</v>
      </c>
      <c r="W159" s="1" t="s">
        <v>1</v>
      </c>
    </row>
    <row r="160" spans="1:23" x14ac:dyDescent="0.25">
      <c r="A160" s="1" t="s">
        <v>1145</v>
      </c>
      <c r="B160" s="1" t="s">
        <v>1160</v>
      </c>
      <c r="C160" s="5" t="str">
        <f t="shared" si="28"/>
        <v>09</v>
      </c>
      <c r="D160" s="5" t="str">
        <f t="shared" si="29"/>
        <v>07</v>
      </c>
      <c r="E160" s="4" t="s">
        <v>30</v>
      </c>
      <c r="F160" s="4" t="s">
        <v>31</v>
      </c>
      <c r="G160" s="22" t="str">
        <f t="shared" si="30"/>
        <v>09/07/2021</v>
      </c>
      <c r="H160" s="4" t="s">
        <v>1</v>
      </c>
      <c r="I160" s="4" t="s">
        <v>0</v>
      </c>
      <c r="J160" s="1" t="s">
        <v>216</v>
      </c>
      <c r="K160" s="1" t="s">
        <v>215</v>
      </c>
      <c r="L160" s="1" t="s">
        <v>1346</v>
      </c>
      <c r="M160" s="1" t="s">
        <v>1346</v>
      </c>
      <c r="N160" s="1" t="s">
        <v>249</v>
      </c>
      <c r="O160" s="24" t="str">
        <f>+VLOOKUP(N160,'base de clientes'!A:B,2,0)</f>
        <v>PROGURSA S.A DE C.V.</v>
      </c>
      <c r="P160" s="1" t="s">
        <v>2</v>
      </c>
      <c r="Q160" s="1" t="s">
        <v>2</v>
      </c>
      <c r="R160" s="3">
        <v>150</v>
      </c>
      <c r="S160" s="24">
        <f t="shared" si="31"/>
        <v>19.5</v>
      </c>
      <c r="T160" s="1" t="s">
        <v>2</v>
      </c>
      <c r="U160" s="1" t="s">
        <v>2</v>
      </c>
      <c r="V160" s="25">
        <f t="shared" si="32"/>
        <v>169.5</v>
      </c>
      <c r="W160" s="1" t="s">
        <v>1</v>
      </c>
    </row>
    <row r="161" spans="1:23" x14ac:dyDescent="0.25">
      <c r="A161" s="1" t="s">
        <v>1145</v>
      </c>
      <c r="B161" s="1" t="s">
        <v>1160</v>
      </c>
      <c r="C161" s="5" t="str">
        <f t="shared" si="28"/>
        <v>09</v>
      </c>
      <c r="D161" s="5" t="str">
        <f t="shared" si="29"/>
        <v>07</v>
      </c>
      <c r="E161" s="4" t="s">
        <v>30</v>
      </c>
      <c r="F161" s="4" t="s">
        <v>31</v>
      </c>
      <c r="G161" s="22" t="str">
        <f t="shared" si="30"/>
        <v>09/07/2021</v>
      </c>
      <c r="H161" s="4" t="s">
        <v>1</v>
      </c>
      <c r="I161" s="4" t="s">
        <v>0</v>
      </c>
      <c r="J161" s="1" t="s">
        <v>216</v>
      </c>
      <c r="K161" s="1" t="s">
        <v>215</v>
      </c>
      <c r="L161" s="1" t="s">
        <v>1347</v>
      </c>
      <c r="M161" s="1" t="s">
        <v>1347</v>
      </c>
      <c r="N161" s="1" t="s">
        <v>221</v>
      </c>
      <c r="O161" s="24" t="str">
        <f>+VLOOKUP(N161,'base de clientes'!A:B,2,0)</f>
        <v>DIDEA S.A DE C.V.</v>
      </c>
      <c r="P161" s="1" t="s">
        <v>2</v>
      </c>
      <c r="Q161" s="1" t="s">
        <v>2</v>
      </c>
      <c r="R161" s="3">
        <v>141.1</v>
      </c>
      <c r="S161" s="24">
        <f t="shared" si="31"/>
        <v>18.343</v>
      </c>
      <c r="T161" s="1" t="s">
        <v>2</v>
      </c>
      <c r="U161" s="1" t="s">
        <v>2</v>
      </c>
      <c r="V161" s="25">
        <f t="shared" si="32"/>
        <v>159.44299999999998</v>
      </c>
      <c r="W161" s="1" t="s">
        <v>1</v>
      </c>
    </row>
    <row r="162" spans="1:23" x14ac:dyDescent="0.25">
      <c r="A162" s="1" t="s">
        <v>1145</v>
      </c>
      <c r="B162" s="1" t="s">
        <v>1160</v>
      </c>
      <c r="C162" s="5" t="str">
        <f t="shared" si="28"/>
        <v>09</v>
      </c>
      <c r="D162" s="5" t="str">
        <f t="shared" si="29"/>
        <v>07</v>
      </c>
      <c r="E162" s="4" t="s">
        <v>30</v>
      </c>
      <c r="F162" s="4" t="s">
        <v>31</v>
      </c>
      <c r="G162" s="22" t="str">
        <f t="shared" si="30"/>
        <v>09/07/2021</v>
      </c>
      <c r="H162" s="4" t="s">
        <v>1</v>
      </c>
      <c r="I162" s="4" t="s">
        <v>0</v>
      </c>
      <c r="J162" s="1" t="s">
        <v>216</v>
      </c>
      <c r="K162" s="1" t="s">
        <v>215</v>
      </c>
      <c r="L162" s="1" t="s">
        <v>1348</v>
      </c>
      <c r="M162" s="1" t="s">
        <v>1348</v>
      </c>
      <c r="N162" s="1" t="s">
        <v>237</v>
      </c>
      <c r="O162" s="24" t="str">
        <f>+VLOOKUP(N162,'base de clientes'!A:B,2,0)</f>
        <v>TALLER DIDEA, S.A. DE C.V.</v>
      </c>
      <c r="P162" s="1" t="s">
        <v>2</v>
      </c>
      <c r="Q162" s="1" t="s">
        <v>2</v>
      </c>
      <c r="R162" s="3">
        <v>377.6</v>
      </c>
      <c r="S162" s="24">
        <f t="shared" si="31"/>
        <v>49.088000000000008</v>
      </c>
      <c r="T162" s="1" t="s">
        <v>2</v>
      </c>
      <c r="U162" s="1" t="s">
        <v>2</v>
      </c>
      <c r="V162" s="25">
        <f t="shared" si="32"/>
        <v>426.68800000000005</v>
      </c>
      <c r="W162" s="1" t="s">
        <v>1</v>
      </c>
    </row>
    <row r="163" spans="1:23" x14ac:dyDescent="0.25">
      <c r="A163" s="1" t="s">
        <v>1145</v>
      </c>
      <c r="B163" s="1" t="s">
        <v>1160</v>
      </c>
      <c r="C163" s="5" t="str">
        <f t="shared" si="28"/>
        <v>09</v>
      </c>
      <c r="D163" s="5" t="str">
        <f t="shared" si="29"/>
        <v>07</v>
      </c>
      <c r="E163" s="4" t="s">
        <v>30</v>
      </c>
      <c r="F163" s="4" t="s">
        <v>31</v>
      </c>
      <c r="G163" s="22" t="str">
        <f t="shared" si="30"/>
        <v>09/07/2021</v>
      </c>
      <c r="H163" s="4" t="s">
        <v>1</v>
      </c>
      <c r="I163" s="4" t="s">
        <v>0</v>
      </c>
      <c r="J163" s="1" t="s">
        <v>216</v>
      </c>
      <c r="K163" s="1" t="s">
        <v>215</v>
      </c>
      <c r="L163" s="1" t="s">
        <v>1349</v>
      </c>
      <c r="M163" s="1" t="s">
        <v>1349</v>
      </c>
      <c r="N163" s="1" t="s">
        <v>239</v>
      </c>
      <c r="O163" s="24" t="str">
        <f>+VLOOKUP(N163,'base de clientes'!A:B,2,0)</f>
        <v>PINTURA Y ENDEREZADO S.A DE C.V.</v>
      </c>
      <c r="P163" s="1" t="s">
        <v>2</v>
      </c>
      <c r="Q163" s="1" t="s">
        <v>2</v>
      </c>
      <c r="R163" s="3">
        <v>148.04</v>
      </c>
      <c r="S163" s="24">
        <f t="shared" si="31"/>
        <v>19.245200000000001</v>
      </c>
      <c r="T163" s="1" t="s">
        <v>2</v>
      </c>
      <c r="U163" s="1" t="s">
        <v>2</v>
      </c>
      <c r="V163" s="25">
        <f t="shared" si="32"/>
        <v>167.2852</v>
      </c>
      <c r="W163" s="1" t="s">
        <v>1</v>
      </c>
    </row>
    <row r="164" spans="1:23" x14ac:dyDescent="0.25">
      <c r="A164" s="1" t="s">
        <v>1145</v>
      </c>
      <c r="B164" s="1" t="s">
        <v>1160</v>
      </c>
      <c r="C164" s="5" t="str">
        <f t="shared" si="28"/>
        <v>09</v>
      </c>
      <c r="D164" s="5" t="str">
        <f t="shared" si="29"/>
        <v>07</v>
      </c>
      <c r="E164" s="4" t="s">
        <v>30</v>
      </c>
      <c r="F164" s="4" t="s">
        <v>31</v>
      </c>
      <c r="G164" s="22" t="str">
        <f t="shared" si="30"/>
        <v>09/07/2021</v>
      </c>
      <c r="H164" s="4" t="s">
        <v>1</v>
      </c>
      <c r="I164" s="4" t="s">
        <v>0</v>
      </c>
      <c r="J164" s="1" t="s">
        <v>216</v>
      </c>
      <c r="K164" s="1" t="s">
        <v>215</v>
      </c>
      <c r="L164" s="1" t="s">
        <v>1350</v>
      </c>
      <c r="M164" s="1" t="s">
        <v>1350</v>
      </c>
      <c r="N164" s="1" t="s">
        <v>233</v>
      </c>
      <c r="O164" s="24" t="str">
        <f>+VLOOKUP(N164,'base de clientes'!A:B,2,0)</f>
        <v>SUPER REPUESTOS EL SALVADOR S.A DE C.V.</v>
      </c>
      <c r="P164" s="1" t="s">
        <v>2</v>
      </c>
      <c r="Q164" s="1" t="s">
        <v>2</v>
      </c>
      <c r="R164" s="3">
        <v>150</v>
      </c>
      <c r="S164" s="24">
        <f t="shared" si="31"/>
        <v>19.5</v>
      </c>
      <c r="T164" s="1" t="s">
        <v>2</v>
      </c>
      <c r="U164" s="1" t="s">
        <v>2</v>
      </c>
      <c r="V164" s="25">
        <f t="shared" si="32"/>
        <v>169.5</v>
      </c>
      <c r="W164" s="1" t="s">
        <v>1</v>
      </c>
    </row>
    <row r="165" spans="1:23" x14ac:dyDescent="0.25">
      <c r="A165" s="1" t="s">
        <v>1145</v>
      </c>
      <c r="B165" s="1" t="s">
        <v>1160</v>
      </c>
      <c r="C165" s="5" t="str">
        <f t="shared" si="28"/>
        <v>09</v>
      </c>
      <c r="D165" s="5" t="str">
        <f t="shared" si="29"/>
        <v>07</v>
      </c>
      <c r="E165" s="4" t="s">
        <v>30</v>
      </c>
      <c r="F165" s="4" t="s">
        <v>31</v>
      </c>
      <c r="G165" s="22" t="str">
        <f t="shared" si="30"/>
        <v>09/07/2021</v>
      </c>
      <c r="H165" s="4" t="s">
        <v>1</v>
      </c>
      <c r="I165" s="4" t="s">
        <v>0</v>
      </c>
      <c r="J165" s="1" t="s">
        <v>216</v>
      </c>
      <c r="K165" s="1" t="s">
        <v>215</v>
      </c>
      <c r="L165" s="1" t="s">
        <v>1351</v>
      </c>
      <c r="M165" s="1" t="s">
        <v>1351</v>
      </c>
      <c r="N165" s="1" t="s">
        <v>247</v>
      </c>
      <c r="O165" s="24" t="str">
        <f>+VLOOKUP(N165,'base de clientes'!A:B,2,0)</f>
        <v>HOTELES S.A DE C.V.</v>
      </c>
      <c r="P165" s="1" t="s">
        <v>2</v>
      </c>
      <c r="Q165" s="1" t="s">
        <v>2</v>
      </c>
      <c r="R165" s="3">
        <v>750</v>
      </c>
      <c r="S165" s="24">
        <f t="shared" si="31"/>
        <v>97.5</v>
      </c>
      <c r="T165" s="1" t="s">
        <v>2</v>
      </c>
      <c r="U165" s="1" t="s">
        <v>2</v>
      </c>
      <c r="V165" s="25">
        <f t="shared" si="32"/>
        <v>847.5</v>
      </c>
      <c r="W165" s="1" t="s">
        <v>1</v>
      </c>
    </row>
    <row r="166" spans="1:23" x14ac:dyDescent="0.25">
      <c r="A166" s="1" t="s">
        <v>1145</v>
      </c>
      <c r="B166" s="1" t="s">
        <v>1160</v>
      </c>
      <c r="C166" s="5" t="str">
        <f t="shared" si="28"/>
        <v>09</v>
      </c>
      <c r="D166" s="5" t="str">
        <f t="shared" si="29"/>
        <v>07</v>
      </c>
      <c r="E166" s="4" t="s">
        <v>30</v>
      </c>
      <c r="F166" s="4" t="s">
        <v>31</v>
      </c>
      <c r="G166" s="22" t="str">
        <f t="shared" si="30"/>
        <v>09/07/2021</v>
      </c>
      <c r="H166" s="4" t="s">
        <v>1</v>
      </c>
      <c r="I166" s="4" t="s">
        <v>0</v>
      </c>
      <c r="J166" s="1" t="s">
        <v>216</v>
      </c>
      <c r="K166" s="1" t="s">
        <v>215</v>
      </c>
      <c r="L166" s="1" t="s">
        <v>1352</v>
      </c>
      <c r="M166" s="1" t="s">
        <v>1352</v>
      </c>
      <c r="N166" s="1" t="s">
        <v>230</v>
      </c>
      <c r="O166" s="24" t="str">
        <f>+VLOOKUP(N166,'base de clientes'!A:B,2,0)</f>
        <v>NEGOCIOS CAMYRAM S.A DE C.V</v>
      </c>
      <c r="P166" s="1" t="s">
        <v>2</v>
      </c>
      <c r="Q166" s="1" t="s">
        <v>2</v>
      </c>
      <c r="R166" s="3">
        <v>360.26</v>
      </c>
      <c r="S166" s="24">
        <f t="shared" si="31"/>
        <v>46.833800000000004</v>
      </c>
      <c r="T166" s="1" t="s">
        <v>2</v>
      </c>
      <c r="U166" s="1" t="s">
        <v>2</v>
      </c>
      <c r="V166" s="25">
        <f t="shared" si="32"/>
        <v>407.09379999999999</v>
      </c>
      <c r="W166" s="1" t="s">
        <v>1</v>
      </c>
    </row>
    <row r="167" spans="1:23" x14ac:dyDescent="0.25">
      <c r="A167" s="1" t="s">
        <v>1145</v>
      </c>
      <c r="B167" s="1" t="s">
        <v>626</v>
      </c>
      <c r="C167" s="5" t="str">
        <f t="shared" si="28"/>
        <v>14</v>
      </c>
      <c r="D167" s="5" t="str">
        <f t="shared" si="29"/>
        <v>07</v>
      </c>
      <c r="E167" s="4" t="s">
        <v>30</v>
      </c>
      <c r="F167" s="4" t="s">
        <v>31</v>
      </c>
      <c r="G167" s="22" t="str">
        <f t="shared" si="30"/>
        <v>14/07/2021</v>
      </c>
      <c r="H167" s="4" t="s">
        <v>1</v>
      </c>
      <c r="I167" s="4" t="s">
        <v>0</v>
      </c>
      <c r="J167" s="1" t="s">
        <v>216</v>
      </c>
      <c r="K167" s="1" t="s">
        <v>215</v>
      </c>
      <c r="L167" s="1" t="s">
        <v>1353</v>
      </c>
      <c r="M167" s="1" t="s">
        <v>1353</v>
      </c>
      <c r="N167" s="1" t="s">
        <v>228</v>
      </c>
      <c r="O167" s="24" t="str">
        <f>+VLOOKUP(N167,'base de clientes'!A:B,2,0)</f>
        <v>POLYBAG S.A DE C.V.</v>
      </c>
      <c r="P167" s="1" t="s">
        <v>2</v>
      </c>
      <c r="Q167" s="1" t="s">
        <v>2</v>
      </c>
      <c r="R167" s="3">
        <v>390</v>
      </c>
      <c r="S167" s="24">
        <f t="shared" si="31"/>
        <v>50.7</v>
      </c>
      <c r="T167" s="1" t="s">
        <v>2</v>
      </c>
      <c r="U167" s="1" t="s">
        <v>2</v>
      </c>
      <c r="V167" s="25">
        <f t="shared" si="32"/>
        <v>440.7</v>
      </c>
      <c r="W167" s="1" t="s">
        <v>1</v>
      </c>
    </row>
    <row r="168" spans="1:23" hidden="1" x14ac:dyDescent="0.25">
      <c r="A168" s="1" t="s">
        <v>1145</v>
      </c>
      <c r="B168" s="1" t="s">
        <v>626</v>
      </c>
      <c r="C168" s="5" t="str">
        <f t="shared" si="28"/>
        <v>14</v>
      </c>
      <c r="D168" s="5" t="str">
        <f t="shared" si="29"/>
        <v>07</v>
      </c>
      <c r="E168" s="4" t="s">
        <v>30</v>
      </c>
      <c r="F168" s="4" t="s">
        <v>31</v>
      </c>
      <c r="G168" s="22" t="str">
        <f t="shared" si="30"/>
        <v>14/07/2021</v>
      </c>
      <c r="H168" s="4" t="s">
        <v>1</v>
      </c>
      <c r="I168" s="4" t="s">
        <v>0</v>
      </c>
      <c r="J168" s="1" t="s">
        <v>216</v>
      </c>
      <c r="K168" s="1" t="s">
        <v>215</v>
      </c>
      <c r="L168" s="1" t="s">
        <v>1354</v>
      </c>
      <c r="M168" s="1" t="s">
        <v>1354</v>
      </c>
      <c r="N168" s="1" t="s">
        <v>256</v>
      </c>
      <c r="O168" s="24" t="str">
        <f>+VLOOKUP(N168,'base de clientes'!A:B,2,0)</f>
        <v>ANULADO</v>
      </c>
      <c r="P168" s="1" t="s">
        <v>2</v>
      </c>
      <c r="Q168" s="1" t="s">
        <v>2</v>
      </c>
      <c r="R168" s="3">
        <v>0</v>
      </c>
      <c r="S168" s="24">
        <f t="shared" si="31"/>
        <v>0</v>
      </c>
      <c r="T168" s="1" t="s">
        <v>2</v>
      </c>
      <c r="U168" s="1" t="s">
        <v>2</v>
      </c>
      <c r="V168" s="25">
        <f t="shared" si="32"/>
        <v>0</v>
      </c>
      <c r="W168" s="1" t="s">
        <v>1</v>
      </c>
    </row>
    <row r="169" spans="1:23" hidden="1" x14ac:dyDescent="0.25">
      <c r="A169" s="1" t="s">
        <v>1145</v>
      </c>
      <c r="B169" s="1" t="s">
        <v>626</v>
      </c>
      <c r="C169" s="5" t="str">
        <f t="shared" si="28"/>
        <v>14</v>
      </c>
      <c r="D169" s="5" t="str">
        <f t="shared" si="29"/>
        <v>07</v>
      </c>
      <c r="E169" s="4" t="s">
        <v>30</v>
      </c>
      <c r="F169" s="4" t="s">
        <v>31</v>
      </c>
      <c r="G169" s="22" t="str">
        <f t="shared" si="30"/>
        <v>14/07/2021</v>
      </c>
      <c r="H169" s="4" t="s">
        <v>1</v>
      </c>
      <c r="I169" s="4" t="s">
        <v>0</v>
      </c>
      <c r="J169" s="1" t="s">
        <v>216</v>
      </c>
      <c r="K169" s="1" t="s">
        <v>215</v>
      </c>
      <c r="L169" s="1" t="s">
        <v>1355</v>
      </c>
      <c r="M169" s="1" t="s">
        <v>1355</v>
      </c>
      <c r="N169" s="1" t="s">
        <v>256</v>
      </c>
      <c r="O169" s="24" t="str">
        <f>+VLOOKUP(N169,'base de clientes'!A:B,2,0)</f>
        <v>ANULADO</v>
      </c>
      <c r="P169" s="1" t="s">
        <v>2</v>
      </c>
      <c r="Q169" s="1" t="s">
        <v>2</v>
      </c>
      <c r="R169" s="3">
        <v>0</v>
      </c>
      <c r="S169" s="24">
        <f t="shared" si="31"/>
        <v>0</v>
      </c>
      <c r="T169" s="1" t="s">
        <v>2</v>
      </c>
      <c r="U169" s="1" t="s">
        <v>2</v>
      </c>
      <c r="V169" s="25">
        <f t="shared" si="32"/>
        <v>0</v>
      </c>
      <c r="W169" s="1" t="s">
        <v>1</v>
      </c>
    </row>
    <row r="170" spans="1:23" hidden="1" x14ac:dyDescent="0.25">
      <c r="A170" s="1" t="s">
        <v>1145</v>
      </c>
      <c r="B170" s="1" t="s">
        <v>626</v>
      </c>
      <c r="C170" s="5" t="str">
        <f t="shared" si="28"/>
        <v>14</v>
      </c>
      <c r="D170" s="5" t="str">
        <f t="shared" si="29"/>
        <v>07</v>
      </c>
      <c r="E170" s="4" t="s">
        <v>30</v>
      </c>
      <c r="F170" s="4" t="s">
        <v>31</v>
      </c>
      <c r="G170" s="22" t="str">
        <f t="shared" si="30"/>
        <v>14/07/2021</v>
      </c>
      <c r="H170" s="4" t="s">
        <v>1</v>
      </c>
      <c r="I170" s="4" t="s">
        <v>0</v>
      </c>
      <c r="J170" s="1" t="s">
        <v>216</v>
      </c>
      <c r="K170" s="1" t="s">
        <v>215</v>
      </c>
      <c r="L170" s="1" t="s">
        <v>1356</v>
      </c>
      <c r="M170" s="1" t="s">
        <v>1356</v>
      </c>
      <c r="N170" s="1" t="s">
        <v>256</v>
      </c>
      <c r="O170" s="24" t="str">
        <f>+VLOOKUP(N170,'base de clientes'!A:B,2,0)</f>
        <v>ANULADO</v>
      </c>
      <c r="P170" s="1" t="s">
        <v>2</v>
      </c>
      <c r="Q170" s="1" t="s">
        <v>2</v>
      </c>
      <c r="R170" s="3">
        <v>0</v>
      </c>
      <c r="S170" s="24">
        <f t="shared" si="31"/>
        <v>0</v>
      </c>
      <c r="T170" s="1" t="s">
        <v>2</v>
      </c>
      <c r="U170" s="1" t="s">
        <v>2</v>
      </c>
      <c r="V170" s="25">
        <f t="shared" si="32"/>
        <v>0</v>
      </c>
      <c r="W170" s="1" t="s">
        <v>1</v>
      </c>
    </row>
    <row r="171" spans="1:23" x14ac:dyDescent="0.25">
      <c r="A171" s="1" t="s">
        <v>1145</v>
      </c>
      <c r="B171" s="1" t="s">
        <v>626</v>
      </c>
      <c r="C171" s="5" t="str">
        <f t="shared" si="28"/>
        <v>14</v>
      </c>
      <c r="D171" s="5" t="str">
        <f t="shared" si="29"/>
        <v>07</v>
      </c>
      <c r="E171" s="4" t="s">
        <v>30</v>
      </c>
      <c r="F171" s="4" t="s">
        <v>31</v>
      </c>
      <c r="G171" s="22" t="str">
        <f t="shared" si="30"/>
        <v>14/07/2021</v>
      </c>
      <c r="H171" s="4" t="s">
        <v>1</v>
      </c>
      <c r="I171" s="4" t="s">
        <v>0</v>
      </c>
      <c r="J171" s="1" t="s">
        <v>216</v>
      </c>
      <c r="K171" s="1" t="s">
        <v>215</v>
      </c>
      <c r="L171" s="1" t="s">
        <v>1357</v>
      </c>
      <c r="M171" s="1" t="s">
        <v>1357</v>
      </c>
      <c r="N171" s="1" t="s">
        <v>261</v>
      </c>
      <c r="O171" s="24" t="str">
        <f>+VLOOKUP(N171,'base de clientes'!A:B,2,0)</f>
        <v>ENMANUEL S.A DE C.V.</v>
      </c>
      <c r="P171" s="1" t="s">
        <v>2</v>
      </c>
      <c r="Q171" s="1" t="s">
        <v>2</v>
      </c>
      <c r="R171" s="3">
        <v>300</v>
      </c>
      <c r="S171" s="24">
        <f t="shared" si="31"/>
        <v>39</v>
      </c>
      <c r="T171" s="1" t="s">
        <v>2</v>
      </c>
      <c r="U171" s="1" t="s">
        <v>2</v>
      </c>
      <c r="V171" s="25">
        <f t="shared" si="32"/>
        <v>339</v>
      </c>
      <c r="W171" s="1" t="s">
        <v>1</v>
      </c>
    </row>
    <row r="172" spans="1:23" x14ac:dyDescent="0.25">
      <c r="A172" s="1" t="s">
        <v>1145</v>
      </c>
      <c r="B172" s="1" t="s">
        <v>626</v>
      </c>
      <c r="C172" s="5" t="str">
        <f t="shared" si="28"/>
        <v>14</v>
      </c>
      <c r="D172" s="5" t="str">
        <f t="shared" si="29"/>
        <v>07</v>
      </c>
      <c r="E172" s="4" t="s">
        <v>30</v>
      </c>
      <c r="F172" s="4" t="s">
        <v>31</v>
      </c>
      <c r="G172" s="22" t="str">
        <f t="shared" si="30"/>
        <v>14/07/2021</v>
      </c>
      <c r="H172" s="4" t="s">
        <v>1</v>
      </c>
      <c r="I172" s="4" t="s">
        <v>0</v>
      </c>
      <c r="J172" s="1" t="s">
        <v>216</v>
      </c>
      <c r="K172" s="1" t="s">
        <v>215</v>
      </c>
      <c r="L172" s="1" t="s">
        <v>1358</v>
      </c>
      <c r="M172" s="1" t="s">
        <v>1358</v>
      </c>
      <c r="N172" s="1" t="s">
        <v>235</v>
      </c>
      <c r="O172" s="24" t="str">
        <f>+VLOOKUP(N172,'base de clientes'!A:B,2,0)</f>
        <v>UNILEVER EL SALVADOR SCC S.A DE C.V.</v>
      </c>
      <c r="P172" s="1" t="s">
        <v>2</v>
      </c>
      <c r="Q172" s="1" t="s">
        <v>2</v>
      </c>
      <c r="R172" s="3">
        <v>1175.42</v>
      </c>
      <c r="S172" s="24">
        <f t="shared" si="31"/>
        <v>152.80460000000002</v>
      </c>
      <c r="T172" s="1" t="s">
        <v>2</v>
      </c>
      <c r="U172" s="1" t="s">
        <v>2</v>
      </c>
      <c r="V172" s="25">
        <f t="shared" si="32"/>
        <v>1328.2246</v>
      </c>
      <c r="W172" s="1" t="s">
        <v>1</v>
      </c>
    </row>
    <row r="173" spans="1:23" x14ac:dyDescent="0.25">
      <c r="A173" s="1" t="s">
        <v>1145</v>
      </c>
      <c r="B173" s="1" t="s">
        <v>1177</v>
      </c>
      <c r="C173" s="5" t="str">
        <f t="shared" si="28"/>
        <v>20</v>
      </c>
      <c r="D173" s="5" t="str">
        <f t="shared" si="29"/>
        <v>07</v>
      </c>
      <c r="E173" s="4" t="s">
        <v>30</v>
      </c>
      <c r="F173" s="4" t="s">
        <v>31</v>
      </c>
      <c r="G173" s="22" t="str">
        <f t="shared" si="30"/>
        <v>20/07/2021</v>
      </c>
      <c r="H173" s="4" t="s">
        <v>1</v>
      </c>
      <c r="I173" s="4" t="s">
        <v>0</v>
      </c>
      <c r="J173" s="1" t="s">
        <v>216</v>
      </c>
      <c r="K173" s="1" t="s">
        <v>215</v>
      </c>
      <c r="L173" s="1" t="s">
        <v>1359</v>
      </c>
      <c r="M173" s="1" t="s">
        <v>1359</v>
      </c>
      <c r="N173" s="1" t="s">
        <v>217</v>
      </c>
      <c r="O173" s="24" t="str">
        <f>+VLOOKUP(N173,'base de clientes'!A:B,2,0)</f>
        <v>OPERADORA DEL SUR, S. A. DE C.V.</v>
      </c>
      <c r="P173" s="1" t="s">
        <v>2</v>
      </c>
      <c r="Q173" s="1" t="s">
        <v>2</v>
      </c>
      <c r="R173" s="3">
        <v>711.59</v>
      </c>
      <c r="S173" s="24">
        <f t="shared" si="31"/>
        <v>92.506700000000009</v>
      </c>
      <c r="T173" s="1" t="s">
        <v>2</v>
      </c>
      <c r="U173" s="1" t="s">
        <v>2</v>
      </c>
      <c r="V173" s="25">
        <f t="shared" si="32"/>
        <v>804.09670000000006</v>
      </c>
      <c r="W173" s="1" t="s">
        <v>1</v>
      </c>
    </row>
    <row r="174" spans="1:23" hidden="1" x14ac:dyDescent="0.25">
      <c r="A174" s="1" t="s">
        <v>1145</v>
      </c>
      <c r="B174" s="1" t="s">
        <v>1177</v>
      </c>
      <c r="C174" s="5" t="str">
        <f t="shared" si="28"/>
        <v>20</v>
      </c>
      <c r="D174" s="5" t="str">
        <f t="shared" si="29"/>
        <v>07</v>
      </c>
      <c r="E174" s="4" t="s">
        <v>30</v>
      </c>
      <c r="F174" s="4" t="s">
        <v>31</v>
      </c>
      <c r="G174" s="22" t="str">
        <f t="shared" si="30"/>
        <v>20/07/2021</v>
      </c>
      <c r="H174" s="4" t="s">
        <v>1</v>
      </c>
      <c r="I174" s="4" t="s">
        <v>0</v>
      </c>
      <c r="J174" s="1" t="s">
        <v>216</v>
      </c>
      <c r="K174" s="1" t="s">
        <v>215</v>
      </c>
      <c r="L174" s="1" t="s">
        <v>1360</v>
      </c>
      <c r="M174" s="1" t="s">
        <v>1360</v>
      </c>
      <c r="N174" s="1" t="s">
        <v>256</v>
      </c>
      <c r="O174" s="24" t="str">
        <f>+VLOOKUP(N174,'base de clientes'!A:B,2,0)</f>
        <v>ANULADO</v>
      </c>
      <c r="P174" s="1" t="s">
        <v>2</v>
      </c>
      <c r="Q174" s="1" t="s">
        <v>2</v>
      </c>
      <c r="R174" s="3">
        <v>0</v>
      </c>
      <c r="S174" s="24">
        <f t="shared" si="31"/>
        <v>0</v>
      </c>
      <c r="T174" s="1" t="s">
        <v>2</v>
      </c>
      <c r="U174" s="1" t="s">
        <v>2</v>
      </c>
      <c r="V174" s="25">
        <f t="shared" si="32"/>
        <v>0</v>
      </c>
      <c r="W174" s="1" t="s">
        <v>1</v>
      </c>
    </row>
    <row r="175" spans="1:23" x14ac:dyDescent="0.25">
      <c r="A175" s="1" t="s">
        <v>1145</v>
      </c>
      <c r="B175" s="1" t="s">
        <v>1177</v>
      </c>
      <c r="C175" s="5" t="str">
        <f t="shared" si="28"/>
        <v>20</v>
      </c>
      <c r="D175" s="5" t="str">
        <f t="shared" si="29"/>
        <v>07</v>
      </c>
      <c r="E175" s="4" t="s">
        <v>30</v>
      </c>
      <c r="F175" s="4" t="s">
        <v>31</v>
      </c>
      <c r="G175" s="22" t="str">
        <f t="shared" si="30"/>
        <v>20/07/2021</v>
      </c>
      <c r="H175" s="4" t="s">
        <v>1</v>
      </c>
      <c r="I175" s="4" t="s">
        <v>0</v>
      </c>
      <c r="J175" s="1" t="s">
        <v>216</v>
      </c>
      <c r="K175" s="1" t="s">
        <v>215</v>
      </c>
      <c r="L175" s="1" t="s">
        <v>1361</v>
      </c>
      <c r="M175" s="1" t="s">
        <v>1361</v>
      </c>
      <c r="N175" s="1" t="s">
        <v>217</v>
      </c>
      <c r="O175" s="24" t="str">
        <f>+VLOOKUP(N175,'base de clientes'!A:B,2,0)</f>
        <v>OPERADORA DEL SUR, S. A. DE C.V.</v>
      </c>
      <c r="P175" s="1" t="s">
        <v>2</v>
      </c>
      <c r="Q175" s="1" t="s">
        <v>2</v>
      </c>
      <c r="R175" s="3">
        <v>6497.55</v>
      </c>
      <c r="S175" s="24">
        <f t="shared" si="31"/>
        <v>844.68150000000003</v>
      </c>
      <c r="T175" s="1" t="s">
        <v>2</v>
      </c>
      <c r="U175" s="1" t="s">
        <v>2</v>
      </c>
      <c r="V175" s="25">
        <f t="shared" si="32"/>
        <v>7342.2314999999999</v>
      </c>
      <c r="W175" s="1" t="s">
        <v>1</v>
      </c>
    </row>
    <row r="176" spans="1:23" hidden="1" x14ac:dyDescent="0.25">
      <c r="A176" s="1" t="s">
        <v>1145</v>
      </c>
      <c r="B176" s="1" t="s">
        <v>1177</v>
      </c>
      <c r="C176" s="5" t="str">
        <f t="shared" si="28"/>
        <v>20</v>
      </c>
      <c r="D176" s="5" t="str">
        <f t="shared" si="29"/>
        <v>07</v>
      </c>
      <c r="E176" s="4" t="s">
        <v>30</v>
      </c>
      <c r="F176" s="4" t="s">
        <v>31</v>
      </c>
      <c r="G176" s="22" t="str">
        <f t="shared" si="30"/>
        <v>20/07/2021</v>
      </c>
      <c r="H176" s="4" t="s">
        <v>1</v>
      </c>
      <c r="I176" s="4" t="s">
        <v>0</v>
      </c>
      <c r="J176" s="1" t="s">
        <v>216</v>
      </c>
      <c r="K176" s="1" t="s">
        <v>215</v>
      </c>
      <c r="L176" s="1" t="s">
        <v>1362</v>
      </c>
      <c r="M176" s="1" t="s">
        <v>1362</v>
      </c>
      <c r="N176" s="1" t="s">
        <v>256</v>
      </c>
      <c r="O176" s="24" t="str">
        <f>+VLOOKUP(N176,'base de clientes'!A:B,2,0)</f>
        <v>ANULADO</v>
      </c>
      <c r="P176" s="1" t="s">
        <v>2</v>
      </c>
      <c r="Q176" s="1" t="s">
        <v>2</v>
      </c>
      <c r="R176" s="3">
        <v>0</v>
      </c>
      <c r="S176" s="24">
        <f t="shared" si="31"/>
        <v>0</v>
      </c>
      <c r="T176" s="1" t="s">
        <v>2</v>
      </c>
      <c r="U176" s="1" t="s">
        <v>2</v>
      </c>
      <c r="V176" s="25">
        <f t="shared" si="32"/>
        <v>0</v>
      </c>
      <c r="W176" s="1" t="s">
        <v>1</v>
      </c>
    </row>
    <row r="177" spans="1:23" x14ac:dyDescent="0.25">
      <c r="A177" s="1" t="s">
        <v>1145</v>
      </c>
      <c r="B177" s="1" t="s">
        <v>1177</v>
      </c>
      <c r="C177" s="5" t="str">
        <f t="shared" si="28"/>
        <v>20</v>
      </c>
      <c r="D177" s="5" t="str">
        <f t="shared" si="29"/>
        <v>07</v>
      </c>
      <c r="E177" s="4" t="s">
        <v>30</v>
      </c>
      <c r="F177" s="4" t="s">
        <v>31</v>
      </c>
      <c r="G177" s="22" t="str">
        <f t="shared" si="30"/>
        <v>20/07/2021</v>
      </c>
      <c r="H177" s="4" t="s">
        <v>1</v>
      </c>
      <c r="I177" s="4" t="s">
        <v>0</v>
      </c>
      <c r="J177" s="1" t="s">
        <v>216</v>
      </c>
      <c r="K177" s="1" t="s">
        <v>215</v>
      </c>
      <c r="L177" s="1" t="s">
        <v>1363</v>
      </c>
      <c r="M177" s="1" t="s">
        <v>1363</v>
      </c>
      <c r="N177" s="1" t="s">
        <v>217</v>
      </c>
      <c r="O177" s="24" t="str">
        <f>+VLOOKUP(N177,'base de clientes'!A:B,2,0)</f>
        <v>OPERADORA DEL SUR, S. A. DE C.V.</v>
      </c>
      <c r="P177" s="1" t="s">
        <v>2</v>
      </c>
      <c r="Q177" s="1" t="s">
        <v>2</v>
      </c>
      <c r="R177" s="3">
        <v>744.76</v>
      </c>
      <c r="S177" s="24">
        <f t="shared" si="31"/>
        <v>96.818799999999996</v>
      </c>
      <c r="T177" s="1" t="s">
        <v>2</v>
      </c>
      <c r="U177" s="1" t="s">
        <v>2</v>
      </c>
      <c r="V177" s="25">
        <f t="shared" si="32"/>
        <v>841.5788</v>
      </c>
      <c r="W177" s="1" t="s">
        <v>1</v>
      </c>
    </row>
    <row r="178" spans="1:23" x14ac:dyDescent="0.25">
      <c r="A178" s="1" t="s">
        <v>1145</v>
      </c>
      <c r="B178" s="1" t="s">
        <v>1177</v>
      </c>
      <c r="C178" s="5" t="str">
        <f t="shared" si="28"/>
        <v>20</v>
      </c>
      <c r="D178" s="5" t="str">
        <f t="shared" si="29"/>
        <v>07</v>
      </c>
      <c r="E178" s="4" t="s">
        <v>30</v>
      </c>
      <c r="F178" s="4" t="s">
        <v>31</v>
      </c>
      <c r="G178" s="22" t="str">
        <f t="shared" si="30"/>
        <v>20/07/2021</v>
      </c>
      <c r="H178" s="4" t="s">
        <v>1</v>
      </c>
      <c r="I178" s="4" t="s">
        <v>0</v>
      </c>
      <c r="J178" s="1" t="s">
        <v>216</v>
      </c>
      <c r="K178" s="1" t="s">
        <v>215</v>
      </c>
      <c r="L178" s="1" t="s">
        <v>1364</v>
      </c>
      <c r="M178" s="1" t="s">
        <v>1364</v>
      </c>
      <c r="N178" s="1" t="s">
        <v>269</v>
      </c>
      <c r="O178" s="24" t="str">
        <f>+VLOOKUP(N178,'base de clientes'!A:B,2,0)</f>
        <v>INVERSIONES STANLEY PACIFICO S.A DE C.V.</v>
      </c>
      <c r="P178" s="1" t="s">
        <v>2</v>
      </c>
      <c r="Q178" s="1" t="s">
        <v>2</v>
      </c>
      <c r="R178" s="3">
        <v>386.64</v>
      </c>
      <c r="S178" s="24">
        <f t="shared" si="31"/>
        <v>50.263199999999998</v>
      </c>
      <c r="T178" s="1" t="s">
        <v>2</v>
      </c>
      <c r="U178" s="1" t="s">
        <v>2</v>
      </c>
      <c r="V178" s="25">
        <f t="shared" si="32"/>
        <v>436.90319999999997</v>
      </c>
      <c r="W178" s="1" t="s">
        <v>1</v>
      </c>
    </row>
    <row r="179" spans="1:23" x14ac:dyDescent="0.25">
      <c r="A179" s="1" t="s">
        <v>1145</v>
      </c>
      <c r="B179" s="1" t="s">
        <v>1182</v>
      </c>
      <c r="C179" s="5" t="str">
        <f t="shared" si="28"/>
        <v>21</v>
      </c>
      <c r="D179" s="5" t="str">
        <f t="shared" si="29"/>
        <v>07</v>
      </c>
      <c r="E179" s="4" t="s">
        <v>30</v>
      </c>
      <c r="F179" s="4" t="s">
        <v>31</v>
      </c>
      <c r="G179" s="22" t="str">
        <f t="shared" si="30"/>
        <v>21/07/2021</v>
      </c>
      <c r="H179" s="4" t="s">
        <v>1</v>
      </c>
      <c r="I179" s="4" t="s">
        <v>0</v>
      </c>
      <c r="J179" s="1" t="s">
        <v>216</v>
      </c>
      <c r="K179" s="1" t="s">
        <v>215</v>
      </c>
      <c r="L179" s="1" t="s">
        <v>1365</v>
      </c>
      <c r="M179" s="1" t="s">
        <v>1365</v>
      </c>
      <c r="N179" s="1" t="s">
        <v>217</v>
      </c>
      <c r="O179" s="24" t="str">
        <f>+VLOOKUP(N179,'base de clientes'!A:B,2,0)</f>
        <v>OPERADORA DEL SUR, S. A. DE C.V.</v>
      </c>
      <c r="P179" s="1" t="s">
        <v>2</v>
      </c>
      <c r="Q179" s="1" t="s">
        <v>2</v>
      </c>
      <c r="R179" s="3">
        <v>1112.55</v>
      </c>
      <c r="S179" s="24">
        <f t="shared" si="31"/>
        <v>144.63149999999999</v>
      </c>
      <c r="T179" s="1" t="s">
        <v>2</v>
      </c>
      <c r="U179" s="1" t="s">
        <v>2</v>
      </c>
      <c r="V179" s="25">
        <f t="shared" si="32"/>
        <v>1257.1814999999999</v>
      </c>
      <c r="W179" s="1" t="s">
        <v>1</v>
      </c>
    </row>
    <row r="180" spans="1:23" hidden="1" x14ac:dyDescent="0.25">
      <c r="A180" s="1" t="s">
        <v>1145</v>
      </c>
      <c r="B180" s="1" t="s">
        <v>1182</v>
      </c>
      <c r="C180" s="5" t="str">
        <f t="shared" si="28"/>
        <v>21</v>
      </c>
      <c r="D180" s="5" t="str">
        <f t="shared" si="29"/>
        <v>07</v>
      </c>
      <c r="E180" s="4" t="s">
        <v>30</v>
      </c>
      <c r="F180" s="4" t="s">
        <v>31</v>
      </c>
      <c r="G180" s="22" t="str">
        <f t="shared" si="30"/>
        <v>21/07/2021</v>
      </c>
      <c r="H180" s="4" t="s">
        <v>1</v>
      </c>
      <c r="I180" s="4" t="s">
        <v>0</v>
      </c>
      <c r="J180" s="1" t="s">
        <v>216</v>
      </c>
      <c r="K180" s="1" t="s">
        <v>215</v>
      </c>
      <c r="L180" s="1" t="s">
        <v>1366</v>
      </c>
      <c r="M180" s="1" t="s">
        <v>1366</v>
      </c>
      <c r="N180" s="1" t="s">
        <v>256</v>
      </c>
      <c r="O180" s="24" t="str">
        <f>+VLOOKUP(N180,'base de clientes'!A:B,2,0)</f>
        <v>ANULADO</v>
      </c>
      <c r="P180" s="1" t="s">
        <v>2</v>
      </c>
      <c r="Q180" s="1" t="s">
        <v>2</v>
      </c>
      <c r="R180" s="3">
        <v>0</v>
      </c>
      <c r="S180" s="24">
        <f t="shared" si="31"/>
        <v>0</v>
      </c>
      <c r="T180" s="1" t="s">
        <v>2</v>
      </c>
      <c r="U180" s="1" t="s">
        <v>2</v>
      </c>
      <c r="V180" s="25">
        <f t="shared" si="32"/>
        <v>0</v>
      </c>
      <c r="W180" s="1" t="s">
        <v>1</v>
      </c>
    </row>
    <row r="181" spans="1:23" x14ac:dyDescent="0.25">
      <c r="A181" s="1" t="s">
        <v>1145</v>
      </c>
      <c r="B181" s="1" t="s">
        <v>1182</v>
      </c>
      <c r="C181" s="5" t="str">
        <f t="shared" si="28"/>
        <v>21</v>
      </c>
      <c r="D181" s="5" t="str">
        <f t="shared" si="29"/>
        <v>07</v>
      </c>
      <c r="E181" s="4" t="s">
        <v>30</v>
      </c>
      <c r="F181" s="4" t="s">
        <v>31</v>
      </c>
      <c r="G181" s="22" t="str">
        <f t="shared" si="30"/>
        <v>21/07/2021</v>
      </c>
      <c r="H181" s="4" t="s">
        <v>1</v>
      </c>
      <c r="I181" s="4" t="s">
        <v>0</v>
      </c>
      <c r="J181" s="1" t="s">
        <v>216</v>
      </c>
      <c r="K181" s="1" t="s">
        <v>215</v>
      </c>
      <c r="L181" s="1" t="s">
        <v>1367</v>
      </c>
      <c r="M181" s="1" t="s">
        <v>1367</v>
      </c>
      <c r="N181" s="1" t="s">
        <v>217</v>
      </c>
      <c r="O181" s="24" t="str">
        <f>+VLOOKUP(N181,'base de clientes'!A:B,2,0)</f>
        <v>OPERADORA DEL SUR, S. A. DE C.V.</v>
      </c>
      <c r="P181" s="1" t="s">
        <v>2</v>
      </c>
      <c r="Q181" s="1" t="s">
        <v>2</v>
      </c>
      <c r="R181" s="3">
        <v>655.88</v>
      </c>
      <c r="S181" s="24">
        <f t="shared" si="31"/>
        <v>85.264400000000009</v>
      </c>
      <c r="T181" s="1" t="s">
        <v>2</v>
      </c>
      <c r="U181" s="1" t="s">
        <v>2</v>
      </c>
      <c r="V181" s="25">
        <f t="shared" si="32"/>
        <v>741.14440000000002</v>
      </c>
      <c r="W181" s="1" t="s">
        <v>1</v>
      </c>
    </row>
    <row r="182" spans="1:23" x14ac:dyDescent="0.25">
      <c r="A182" s="1" t="s">
        <v>1145</v>
      </c>
      <c r="B182" s="1" t="s">
        <v>1182</v>
      </c>
      <c r="C182" s="5" t="str">
        <f t="shared" si="28"/>
        <v>21</v>
      </c>
      <c r="D182" s="5" t="str">
        <f t="shared" si="29"/>
        <v>07</v>
      </c>
      <c r="E182" s="4" t="s">
        <v>30</v>
      </c>
      <c r="F182" s="4" t="s">
        <v>31</v>
      </c>
      <c r="G182" s="22" t="str">
        <f t="shared" si="30"/>
        <v>21/07/2021</v>
      </c>
      <c r="H182" s="4" t="s">
        <v>1</v>
      </c>
      <c r="I182" s="4" t="s">
        <v>0</v>
      </c>
      <c r="J182" s="1" t="s">
        <v>216</v>
      </c>
      <c r="K182" s="1" t="s">
        <v>215</v>
      </c>
      <c r="L182" s="1" t="s">
        <v>926</v>
      </c>
      <c r="M182" s="1" t="s">
        <v>926</v>
      </c>
      <c r="N182" s="1" t="s">
        <v>217</v>
      </c>
      <c r="O182" s="24" t="str">
        <f>+VLOOKUP(N182,'base de clientes'!A:B,2,0)</f>
        <v>OPERADORA DEL SUR, S. A. DE C.V.</v>
      </c>
      <c r="P182" s="1" t="s">
        <v>2</v>
      </c>
      <c r="Q182" s="1" t="s">
        <v>2</v>
      </c>
      <c r="R182" s="3">
        <v>227.84</v>
      </c>
      <c r="S182" s="24">
        <f t="shared" si="31"/>
        <v>29.619200000000003</v>
      </c>
      <c r="T182" s="1" t="s">
        <v>2</v>
      </c>
      <c r="U182" s="1" t="s">
        <v>2</v>
      </c>
      <c r="V182" s="25">
        <f t="shared" si="32"/>
        <v>257.45920000000001</v>
      </c>
      <c r="W182" s="1" t="s">
        <v>1</v>
      </c>
    </row>
    <row r="183" spans="1:23" x14ac:dyDescent="0.25">
      <c r="A183" s="1" t="s">
        <v>1145</v>
      </c>
      <c r="B183" s="1" t="s">
        <v>1182</v>
      </c>
      <c r="C183" s="5" t="str">
        <f t="shared" si="28"/>
        <v>21</v>
      </c>
      <c r="D183" s="5" t="str">
        <f t="shared" si="29"/>
        <v>07</v>
      </c>
      <c r="E183" s="4" t="s">
        <v>30</v>
      </c>
      <c r="F183" s="4" t="s">
        <v>31</v>
      </c>
      <c r="G183" s="22" t="str">
        <f t="shared" si="30"/>
        <v>21/07/2021</v>
      </c>
      <c r="H183" s="4" t="s">
        <v>1</v>
      </c>
      <c r="I183" s="4" t="s">
        <v>0</v>
      </c>
      <c r="J183" s="1" t="s">
        <v>216</v>
      </c>
      <c r="K183" s="1" t="s">
        <v>215</v>
      </c>
      <c r="L183" s="1" t="s">
        <v>1368</v>
      </c>
      <c r="M183" s="1" t="s">
        <v>1368</v>
      </c>
      <c r="N183" s="1" t="s">
        <v>217</v>
      </c>
      <c r="O183" s="24" t="str">
        <f>+VLOOKUP(N183,'base de clientes'!A:B,2,0)</f>
        <v>OPERADORA DEL SUR, S. A. DE C.V.</v>
      </c>
      <c r="P183" s="1" t="s">
        <v>2</v>
      </c>
      <c r="Q183" s="1" t="s">
        <v>2</v>
      </c>
      <c r="R183" s="3">
        <v>2147.04</v>
      </c>
      <c r="S183" s="24">
        <f t="shared" si="31"/>
        <v>279.11520000000002</v>
      </c>
      <c r="T183" s="1" t="s">
        <v>2</v>
      </c>
      <c r="U183" s="1" t="s">
        <v>2</v>
      </c>
      <c r="V183" s="25">
        <f t="shared" si="32"/>
        <v>2426.1552000000001</v>
      </c>
      <c r="W183" s="1" t="s">
        <v>1</v>
      </c>
    </row>
    <row r="184" spans="1:23" x14ac:dyDescent="0.25">
      <c r="A184" s="1" t="s">
        <v>1145</v>
      </c>
      <c r="B184" s="1" t="s">
        <v>1182</v>
      </c>
      <c r="C184" s="5" t="str">
        <f t="shared" si="28"/>
        <v>21</v>
      </c>
      <c r="D184" s="5" t="str">
        <f t="shared" si="29"/>
        <v>07</v>
      </c>
      <c r="E184" s="4" t="s">
        <v>30</v>
      </c>
      <c r="F184" s="4" t="s">
        <v>31</v>
      </c>
      <c r="G184" s="22" t="str">
        <f t="shared" si="30"/>
        <v>21/07/2021</v>
      </c>
      <c r="H184" s="4" t="s">
        <v>1</v>
      </c>
      <c r="I184" s="4" t="s">
        <v>0</v>
      </c>
      <c r="J184" s="1" t="s">
        <v>216</v>
      </c>
      <c r="K184" s="1" t="s">
        <v>215</v>
      </c>
      <c r="L184" s="1" t="s">
        <v>1369</v>
      </c>
      <c r="M184" s="1" t="s">
        <v>1369</v>
      </c>
      <c r="N184" s="1" t="s">
        <v>217</v>
      </c>
      <c r="O184" s="24" t="str">
        <f>+VLOOKUP(N184,'base de clientes'!A:B,2,0)</f>
        <v>OPERADORA DEL SUR, S. A. DE C.V.</v>
      </c>
      <c r="P184" s="1" t="s">
        <v>2</v>
      </c>
      <c r="Q184" s="1" t="s">
        <v>2</v>
      </c>
      <c r="R184" s="3">
        <v>550</v>
      </c>
      <c r="S184" s="24">
        <f t="shared" si="31"/>
        <v>71.5</v>
      </c>
      <c r="T184" s="1" t="s">
        <v>2</v>
      </c>
      <c r="U184" s="1" t="s">
        <v>2</v>
      </c>
      <c r="V184" s="25">
        <f t="shared" si="32"/>
        <v>621.5</v>
      </c>
      <c r="W184" s="1" t="s">
        <v>1</v>
      </c>
    </row>
    <row r="185" spans="1:23" x14ac:dyDescent="0.25">
      <c r="A185" s="1" t="s">
        <v>1145</v>
      </c>
      <c r="B185" s="1" t="s">
        <v>1182</v>
      </c>
      <c r="C185" s="5" t="str">
        <f t="shared" si="28"/>
        <v>21</v>
      </c>
      <c r="D185" s="5" t="str">
        <f t="shared" si="29"/>
        <v>07</v>
      </c>
      <c r="E185" s="4" t="s">
        <v>30</v>
      </c>
      <c r="F185" s="4" t="s">
        <v>31</v>
      </c>
      <c r="G185" s="22" t="str">
        <f t="shared" si="30"/>
        <v>21/07/2021</v>
      </c>
      <c r="H185" s="4" t="s">
        <v>1</v>
      </c>
      <c r="I185" s="4" t="s">
        <v>0</v>
      </c>
      <c r="J185" s="1" t="s">
        <v>216</v>
      </c>
      <c r="K185" s="1" t="s">
        <v>215</v>
      </c>
      <c r="L185" s="1" t="s">
        <v>1370</v>
      </c>
      <c r="M185" s="1" t="s">
        <v>1370</v>
      </c>
      <c r="N185" s="1" t="s">
        <v>217</v>
      </c>
      <c r="O185" s="24" t="str">
        <f>+VLOOKUP(N185,'base de clientes'!A:B,2,0)</f>
        <v>OPERADORA DEL SUR, S. A. DE C.V.</v>
      </c>
      <c r="P185" s="1" t="s">
        <v>2</v>
      </c>
      <c r="Q185" s="1" t="s">
        <v>2</v>
      </c>
      <c r="R185" s="3">
        <v>500</v>
      </c>
      <c r="S185" s="24">
        <f t="shared" si="31"/>
        <v>65</v>
      </c>
      <c r="T185" s="1" t="s">
        <v>2</v>
      </c>
      <c r="U185" s="1" t="s">
        <v>2</v>
      </c>
      <c r="V185" s="25">
        <f t="shared" si="32"/>
        <v>565</v>
      </c>
      <c r="W185" s="1" t="s">
        <v>1</v>
      </c>
    </row>
    <row r="186" spans="1:23" x14ac:dyDescent="0.25">
      <c r="A186" s="1" t="s">
        <v>1145</v>
      </c>
      <c r="B186" s="1" t="s">
        <v>1207</v>
      </c>
      <c r="C186" s="5" t="str">
        <f t="shared" si="28"/>
        <v>23</v>
      </c>
      <c r="D186" s="5" t="str">
        <f t="shared" si="29"/>
        <v>07</v>
      </c>
      <c r="E186" s="4" t="s">
        <v>30</v>
      </c>
      <c r="F186" s="4" t="s">
        <v>31</v>
      </c>
      <c r="G186" s="22" t="str">
        <f t="shared" si="30"/>
        <v>23/07/2021</v>
      </c>
      <c r="H186" s="4" t="s">
        <v>1</v>
      </c>
      <c r="I186" s="4" t="s">
        <v>0</v>
      </c>
      <c r="J186" s="1" t="s">
        <v>216</v>
      </c>
      <c r="K186" s="1" t="s">
        <v>215</v>
      </c>
      <c r="L186" s="1" t="s">
        <v>1371</v>
      </c>
      <c r="M186" s="1" t="s">
        <v>1371</v>
      </c>
      <c r="N186" s="1" t="s">
        <v>213</v>
      </c>
      <c r="O186" s="24" t="str">
        <f>+VLOOKUP(N186,'base de clientes'!A:B,2,0)</f>
        <v>PRODUCTOS CARNICOS S.A DE C.V.</v>
      </c>
      <c r="P186" s="1" t="s">
        <v>2</v>
      </c>
      <c r="Q186" s="1" t="s">
        <v>2</v>
      </c>
      <c r="R186" s="3">
        <v>344.6</v>
      </c>
      <c r="S186" s="24">
        <f t="shared" si="31"/>
        <v>44.798000000000002</v>
      </c>
      <c r="T186" s="1" t="s">
        <v>2</v>
      </c>
      <c r="U186" s="1" t="s">
        <v>2</v>
      </c>
      <c r="V186" s="25">
        <f t="shared" si="32"/>
        <v>389.39800000000002</v>
      </c>
      <c r="W186" s="1" t="s">
        <v>1</v>
      </c>
    </row>
    <row r="187" spans="1:23" x14ac:dyDescent="0.25">
      <c r="A187" s="1" t="s">
        <v>1145</v>
      </c>
      <c r="B187" s="1" t="s">
        <v>1207</v>
      </c>
      <c r="C187" s="5" t="str">
        <f t="shared" si="28"/>
        <v>23</v>
      </c>
      <c r="D187" s="5" t="str">
        <f t="shared" si="29"/>
        <v>07</v>
      </c>
      <c r="E187" s="4" t="s">
        <v>30</v>
      </c>
      <c r="F187" s="4" t="s">
        <v>31</v>
      </c>
      <c r="G187" s="22" t="str">
        <f t="shared" si="30"/>
        <v>23/07/2021</v>
      </c>
      <c r="H187" s="4" t="s">
        <v>1</v>
      </c>
      <c r="I187" s="4" t="s">
        <v>0</v>
      </c>
      <c r="J187" s="1" t="s">
        <v>216</v>
      </c>
      <c r="K187" s="1" t="s">
        <v>215</v>
      </c>
      <c r="L187" s="1" t="s">
        <v>1372</v>
      </c>
      <c r="M187" s="1" t="s">
        <v>1372</v>
      </c>
      <c r="N187" s="1" t="s">
        <v>304</v>
      </c>
      <c r="O187" s="24" t="str">
        <f>+VLOOKUP(N187,'base de clientes'!A:B,2,0)</f>
        <v>INDUSTRIAS MIKE MIKE S.A DE C.V.</v>
      </c>
      <c r="P187" s="1" t="s">
        <v>2</v>
      </c>
      <c r="Q187" s="1" t="s">
        <v>2</v>
      </c>
      <c r="R187" s="3">
        <v>165.92</v>
      </c>
      <c r="S187" s="24">
        <f t="shared" si="31"/>
        <v>21.569599999999998</v>
      </c>
      <c r="T187" s="1" t="s">
        <v>2</v>
      </c>
      <c r="U187" s="1" t="s">
        <v>2</v>
      </c>
      <c r="V187" s="25">
        <f t="shared" si="32"/>
        <v>187.4896</v>
      </c>
      <c r="W187" s="1" t="s">
        <v>1</v>
      </c>
    </row>
    <row r="188" spans="1:23" x14ac:dyDescent="0.25">
      <c r="A188" s="1" t="s">
        <v>1145</v>
      </c>
      <c r="B188" s="1" t="s">
        <v>1207</v>
      </c>
      <c r="C188" s="5" t="str">
        <f t="shared" si="28"/>
        <v>23</v>
      </c>
      <c r="D188" s="5" t="str">
        <f t="shared" si="29"/>
        <v>07</v>
      </c>
      <c r="E188" s="4" t="s">
        <v>30</v>
      </c>
      <c r="F188" s="4" t="s">
        <v>31</v>
      </c>
      <c r="G188" s="22" t="str">
        <f t="shared" si="30"/>
        <v>23/07/2021</v>
      </c>
      <c r="H188" s="4" t="s">
        <v>1</v>
      </c>
      <c r="I188" s="4" t="s">
        <v>0</v>
      </c>
      <c r="J188" s="1" t="s">
        <v>216</v>
      </c>
      <c r="K188" s="1" t="s">
        <v>215</v>
      </c>
      <c r="L188" s="1" t="s">
        <v>588</v>
      </c>
      <c r="M188" s="1" t="s">
        <v>588</v>
      </c>
      <c r="N188" s="1" t="s">
        <v>219</v>
      </c>
      <c r="O188" s="24" t="str">
        <f>+VLOOKUP(N188,'base de clientes'!A:B,2,0)</f>
        <v>NEMTEX S.A DE C.V.</v>
      </c>
      <c r="P188" s="1" t="s">
        <v>2</v>
      </c>
      <c r="Q188" s="1" t="s">
        <v>2</v>
      </c>
      <c r="R188" s="3">
        <v>255.92</v>
      </c>
      <c r="S188" s="24">
        <f t="shared" si="31"/>
        <v>33.269599999999997</v>
      </c>
      <c r="T188" s="1" t="s">
        <v>2</v>
      </c>
      <c r="U188" s="1" t="s">
        <v>2</v>
      </c>
      <c r="V188" s="25">
        <f t="shared" si="32"/>
        <v>289.18959999999998</v>
      </c>
      <c r="W188" s="1" t="s">
        <v>1</v>
      </c>
    </row>
    <row r="189" spans="1:23" x14ac:dyDescent="0.25">
      <c r="A189" s="1" t="s">
        <v>1145</v>
      </c>
      <c r="B189" s="1" t="s">
        <v>1191</v>
      </c>
      <c r="C189" s="5" t="str">
        <f t="shared" si="28"/>
        <v>27</v>
      </c>
      <c r="D189" s="5" t="str">
        <f t="shared" si="29"/>
        <v>07</v>
      </c>
      <c r="E189" s="4" t="s">
        <v>30</v>
      </c>
      <c r="F189" s="4" t="s">
        <v>31</v>
      </c>
      <c r="G189" s="22" t="str">
        <f t="shared" si="30"/>
        <v>27/07/2021</v>
      </c>
      <c r="H189" s="4" t="s">
        <v>1</v>
      </c>
      <c r="I189" s="4" t="s">
        <v>0</v>
      </c>
      <c r="J189" s="1" t="s">
        <v>216</v>
      </c>
      <c r="K189" s="1" t="s">
        <v>215</v>
      </c>
      <c r="L189" s="1" t="s">
        <v>1373</v>
      </c>
      <c r="M189" s="1" t="s">
        <v>1373</v>
      </c>
      <c r="N189" s="1" t="s">
        <v>213</v>
      </c>
      <c r="O189" s="24" t="str">
        <f>+VLOOKUP(N189,'base de clientes'!A:B,2,0)</f>
        <v>PRODUCTOS CARNICOS S.A DE C.V.</v>
      </c>
      <c r="P189" s="1" t="s">
        <v>2</v>
      </c>
      <c r="Q189" s="1" t="s">
        <v>2</v>
      </c>
      <c r="R189" s="3">
        <v>2977</v>
      </c>
      <c r="S189" s="24">
        <f t="shared" si="31"/>
        <v>387.01</v>
      </c>
      <c r="T189" s="1" t="s">
        <v>2</v>
      </c>
      <c r="U189" s="1" t="s">
        <v>2</v>
      </c>
      <c r="V189" s="25">
        <f t="shared" si="32"/>
        <v>3364.01</v>
      </c>
      <c r="W189" s="1" t="s">
        <v>1</v>
      </c>
    </row>
    <row r="190" spans="1:23" x14ac:dyDescent="0.25">
      <c r="V190" s="25"/>
    </row>
    <row r="191" spans="1:23" x14ac:dyDescent="0.25">
      <c r="V191" s="25"/>
    </row>
    <row r="192" spans="1:23" x14ac:dyDescent="0.25">
      <c r="V192" s="25"/>
    </row>
    <row r="193" spans="22:22" x14ac:dyDescent="0.25">
      <c r="V193" s="25"/>
    </row>
    <row r="194" spans="22:22" x14ac:dyDescent="0.25">
      <c r="V194" s="25"/>
    </row>
    <row r="195" spans="22:22" x14ac:dyDescent="0.25">
      <c r="V195" s="25"/>
    </row>
    <row r="196" spans="22:22" x14ac:dyDescent="0.25">
      <c r="V196" s="25"/>
    </row>
    <row r="197" spans="22:22" x14ac:dyDescent="0.25">
      <c r="V197" s="25"/>
    </row>
    <row r="198" spans="22:22" x14ac:dyDescent="0.25">
      <c r="V198" s="25"/>
    </row>
    <row r="199" spans="22:22" x14ac:dyDescent="0.25">
      <c r="V199" s="25"/>
    </row>
    <row r="200" spans="22:22" x14ac:dyDescent="0.25">
      <c r="V200" s="25"/>
    </row>
    <row r="201" spans="22:22" x14ac:dyDescent="0.25">
      <c r="V201" s="25"/>
    </row>
    <row r="202" spans="22:22" x14ac:dyDescent="0.25">
      <c r="V202" s="25"/>
    </row>
    <row r="203" spans="22:22" x14ac:dyDescent="0.25">
      <c r="V203" s="25"/>
    </row>
    <row r="204" spans="22:22" x14ac:dyDescent="0.25">
      <c r="V204" s="25"/>
    </row>
    <row r="205" spans="22:22" x14ac:dyDescent="0.25">
      <c r="V205" s="25"/>
    </row>
    <row r="206" spans="22:22" x14ac:dyDescent="0.25">
      <c r="V206" s="25"/>
    </row>
    <row r="207" spans="22:22" x14ac:dyDescent="0.25">
      <c r="V207" s="25"/>
    </row>
    <row r="208" spans="22:22" x14ac:dyDescent="0.25">
      <c r="V208" s="25"/>
    </row>
    <row r="209" spans="22:22" x14ac:dyDescent="0.25">
      <c r="V209" s="25"/>
    </row>
    <row r="210" spans="22:22" x14ac:dyDescent="0.25">
      <c r="V210" s="25"/>
    </row>
    <row r="211" spans="22:22" x14ac:dyDescent="0.25">
      <c r="V211" s="25"/>
    </row>
    <row r="212" spans="22:22" x14ac:dyDescent="0.25">
      <c r="V212" s="25"/>
    </row>
    <row r="213" spans="22:22" x14ac:dyDescent="0.25">
      <c r="V213" s="25"/>
    </row>
    <row r="214" spans="22:22" x14ac:dyDescent="0.25">
      <c r="V214" s="25"/>
    </row>
    <row r="215" spans="22:22" x14ac:dyDescent="0.25">
      <c r="V215" s="25"/>
    </row>
    <row r="216" spans="22:22" x14ac:dyDescent="0.25">
      <c r="V216" s="25"/>
    </row>
    <row r="217" spans="22:22" x14ac:dyDescent="0.25">
      <c r="V217" s="25"/>
    </row>
    <row r="218" spans="22:22" x14ac:dyDescent="0.25">
      <c r="V218" s="25"/>
    </row>
    <row r="219" spans="22:22" x14ac:dyDescent="0.25">
      <c r="V219" s="25"/>
    </row>
    <row r="220" spans="22:22" x14ac:dyDescent="0.25">
      <c r="V220" s="25"/>
    </row>
    <row r="221" spans="22:22" x14ac:dyDescent="0.25">
      <c r="V221" s="25"/>
    </row>
    <row r="222" spans="22:22" x14ac:dyDescent="0.25">
      <c r="V222" s="25"/>
    </row>
    <row r="223" spans="22:22" x14ac:dyDescent="0.25">
      <c r="V223" s="25"/>
    </row>
    <row r="224" spans="22:22" x14ac:dyDescent="0.25">
      <c r="V224" s="25"/>
    </row>
    <row r="225" spans="22:22" x14ac:dyDescent="0.25">
      <c r="V225" s="25"/>
    </row>
    <row r="226" spans="22:22" x14ac:dyDescent="0.25">
      <c r="V226" s="25"/>
    </row>
    <row r="227" spans="22:22" x14ac:dyDescent="0.25">
      <c r="V227" s="25"/>
    </row>
    <row r="228" spans="22:22" x14ac:dyDescent="0.25">
      <c r="V228" s="25"/>
    </row>
    <row r="229" spans="22:22" x14ac:dyDescent="0.25">
      <c r="V229" s="25"/>
    </row>
    <row r="230" spans="22:22" x14ac:dyDescent="0.25">
      <c r="V230" s="25"/>
    </row>
    <row r="231" spans="22:22" x14ac:dyDescent="0.25">
      <c r="V231" s="25"/>
    </row>
    <row r="232" spans="22:22" x14ac:dyDescent="0.25">
      <c r="V232" s="25"/>
    </row>
    <row r="233" spans="22:22" x14ac:dyDescent="0.25">
      <c r="V233" s="25"/>
    </row>
    <row r="5000" spans="1:22" x14ac:dyDescent="0.25">
      <c r="A5000" s="2" t="s">
        <v>1056</v>
      </c>
      <c r="B5000" s="2"/>
      <c r="C5000" s="2"/>
      <c r="D5000" s="2"/>
      <c r="E5000" s="2"/>
      <c r="F5000" s="2"/>
      <c r="G5000" s="2"/>
      <c r="H5000" s="2"/>
      <c r="I5000" s="2"/>
      <c r="J5000" s="2"/>
      <c r="K5000" s="2"/>
      <c r="L5000" s="2"/>
      <c r="M5000" s="2"/>
      <c r="N5000" s="2"/>
      <c r="O5000" s="3"/>
      <c r="P5000" s="2"/>
      <c r="Q5000" s="2"/>
      <c r="R5000" s="26">
        <f>SUBTOTAL(9,R2:R4999)</f>
        <v>123018.27999999996</v>
      </c>
      <c r="S5000" s="26">
        <f>SUBTOTAL(9,S2:S4999)</f>
        <v>15992.318500000001</v>
      </c>
      <c r="T5000" s="2"/>
      <c r="U5000" s="2"/>
      <c r="V5000" s="26">
        <f>SUBTOTAL(9,V2:V4999)</f>
        <v>139010.59849999999</v>
      </c>
    </row>
  </sheetData>
  <autoFilter ref="A1:W189">
    <filterColumn colId="13">
      <filters>
        <filter val="06140101850027"/>
        <filter val="06140104620021"/>
        <filter val="06140202021024"/>
        <filter val="06140702001011"/>
        <filter val="06140901921022"/>
        <filter val="06140909921072"/>
        <filter val="06141009650016"/>
        <filter val="06141111931016"/>
        <filter val="06141206740014"/>
        <filter val="06141210830014"/>
        <filter val="06141511720027"/>
        <filter val="06141512001054"/>
        <filter val="06142301690017"/>
        <filter val="06142311981022"/>
        <filter val="06142402121034"/>
        <filter val="06142411181015"/>
        <filter val="06142510021011"/>
        <filter val="06142703780037"/>
        <filter val="06142708620024"/>
        <filter val="06142808031087"/>
        <filter val="06142910131029"/>
        <filter val="06143101550016"/>
        <filter val="06143107971090"/>
        <filter val="06143112510011"/>
      </filters>
    </filterColumn>
    <sortState ref="A2:W129">
      <sortCondition ref="G1:G129"/>
    </sortState>
  </autoFilter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 tint="-0.249977111117893"/>
  </sheetPr>
  <dimension ref="A1:I101"/>
  <sheetViews>
    <sheetView topLeftCell="A73" workbookViewId="0">
      <selection activeCell="B75" sqref="B75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5" max="5" width="17.28515625" bestFit="1" customWidth="1"/>
    <col min="9" max="9" width="11.42578125" style="18"/>
  </cols>
  <sheetData>
    <row r="1" spans="1:8" x14ac:dyDescent="0.25">
      <c r="A1" s="1" t="s">
        <v>455</v>
      </c>
      <c r="B1" t="s">
        <v>454</v>
      </c>
    </row>
    <row r="2" spans="1:8" x14ac:dyDescent="0.25">
      <c r="A2" s="1" t="s">
        <v>453</v>
      </c>
      <c r="B2" t="s">
        <v>452</v>
      </c>
      <c r="E2" s="1"/>
      <c r="F2" s="1"/>
      <c r="G2" s="1"/>
      <c r="H2" s="1"/>
    </row>
    <row r="3" spans="1:8" x14ac:dyDescent="0.25">
      <c r="A3" s="1" t="s">
        <v>451</v>
      </c>
      <c r="B3" t="s">
        <v>450</v>
      </c>
      <c r="E3" s="1"/>
      <c r="F3" s="1"/>
      <c r="G3" s="1"/>
      <c r="H3" s="1"/>
    </row>
    <row r="4" spans="1:8" x14ac:dyDescent="0.25">
      <c r="A4" s="1" t="s">
        <v>449</v>
      </c>
      <c r="B4" t="s">
        <v>448</v>
      </c>
      <c r="E4" s="1"/>
      <c r="F4" s="1"/>
      <c r="G4" s="1"/>
      <c r="H4" s="1"/>
    </row>
    <row r="5" spans="1:8" x14ac:dyDescent="0.25">
      <c r="A5" s="1" t="s">
        <v>447</v>
      </c>
      <c r="B5" t="s">
        <v>446</v>
      </c>
      <c r="E5" s="1"/>
      <c r="F5" s="1"/>
      <c r="G5" s="1"/>
      <c r="H5" s="1"/>
    </row>
    <row r="6" spans="1:8" x14ac:dyDescent="0.25">
      <c r="A6" s="1" t="s">
        <v>445</v>
      </c>
      <c r="B6" t="s">
        <v>444</v>
      </c>
      <c r="E6" s="1"/>
      <c r="F6" s="1"/>
      <c r="G6" s="1"/>
      <c r="H6" s="1"/>
    </row>
    <row r="7" spans="1:8" x14ac:dyDescent="0.25">
      <c r="A7" s="1" t="s">
        <v>443</v>
      </c>
      <c r="B7" t="s">
        <v>442</v>
      </c>
      <c r="E7" s="1"/>
      <c r="F7" s="1"/>
      <c r="G7" s="1"/>
      <c r="H7" s="1"/>
    </row>
    <row r="8" spans="1:8" x14ac:dyDescent="0.25">
      <c r="A8" s="1" t="s">
        <v>441</v>
      </c>
      <c r="B8" t="s">
        <v>440</v>
      </c>
      <c r="E8" s="1"/>
      <c r="F8" s="1"/>
      <c r="G8" s="1"/>
      <c r="H8" s="1"/>
    </row>
    <row r="9" spans="1:8" x14ac:dyDescent="0.25">
      <c r="A9" s="1" t="s">
        <v>439</v>
      </c>
      <c r="B9" t="s">
        <v>438</v>
      </c>
      <c r="E9" s="1"/>
      <c r="F9" s="1"/>
      <c r="G9" s="1"/>
      <c r="H9" s="1"/>
    </row>
    <row r="10" spans="1:8" x14ac:dyDescent="0.25">
      <c r="A10" s="1" t="s">
        <v>437</v>
      </c>
      <c r="B10" t="s">
        <v>436</v>
      </c>
      <c r="E10" s="1"/>
      <c r="F10" s="1"/>
      <c r="G10" s="1"/>
      <c r="H10" s="1"/>
    </row>
    <row r="11" spans="1:8" x14ac:dyDescent="0.25">
      <c r="A11" s="1" t="s">
        <v>435</v>
      </c>
      <c r="B11" t="s">
        <v>434</v>
      </c>
      <c r="E11" s="1"/>
      <c r="F11" s="1"/>
      <c r="G11" s="1"/>
      <c r="H11" s="1"/>
    </row>
    <row r="12" spans="1:8" x14ac:dyDescent="0.25">
      <c r="A12" s="1" t="s">
        <v>433</v>
      </c>
      <c r="B12" t="s">
        <v>432</v>
      </c>
      <c r="E12" s="1"/>
      <c r="F12" s="1"/>
      <c r="G12" s="1"/>
      <c r="H12" s="1"/>
    </row>
    <row r="13" spans="1:8" x14ac:dyDescent="0.25">
      <c r="A13" s="1" t="s">
        <v>431</v>
      </c>
      <c r="B13" t="s">
        <v>430</v>
      </c>
    </row>
    <row r="14" spans="1:8" x14ac:dyDescent="0.25">
      <c r="A14" s="1" t="s">
        <v>429</v>
      </c>
      <c r="B14" t="s">
        <v>428</v>
      </c>
    </row>
    <row r="15" spans="1:8" x14ac:dyDescent="0.25">
      <c r="A15" s="1" t="s">
        <v>427</v>
      </c>
      <c r="B15" t="s">
        <v>426</v>
      </c>
    </row>
    <row r="16" spans="1:8" x14ac:dyDescent="0.25">
      <c r="A16" s="1" t="s">
        <v>425</v>
      </c>
      <c r="B16" t="s">
        <v>424</v>
      </c>
    </row>
    <row r="17" spans="1:2" x14ac:dyDescent="0.25">
      <c r="A17" s="1" t="s">
        <v>423</v>
      </c>
      <c r="B17" t="s">
        <v>422</v>
      </c>
    </row>
    <row r="18" spans="1:2" x14ac:dyDescent="0.25">
      <c r="A18" s="1" t="s">
        <v>421</v>
      </c>
      <c r="B18" t="s">
        <v>420</v>
      </c>
    </row>
    <row r="19" spans="1:2" x14ac:dyDescent="0.25">
      <c r="A19" s="1" t="s">
        <v>419</v>
      </c>
      <c r="B19" t="s">
        <v>418</v>
      </c>
    </row>
    <row r="20" spans="1:2" x14ac:dyDescent="0.25">
      <c r="A20" s="1" t="s">
        <v>417</v>
      </c>
      <c r="B20" t="s">
        <v>416</v>
      </c>
    </row>
    <row r="21" spans="1:2" x14ac:dyDescent="0.25">
      <c r="A21" s="1" t="s">
        <v>415</v>
      </c>
      <c r="B21" t="s">
        <v>414</v>
      </c>
    </row>
    <row r="22" spans="1:2" x14ac:dyDescent="0.25">
      <c r="A22" s="1" t="s">
        <v>413</v>
      </c>
      <c r="B22" t="s">
        <v>412</v>
      </c>
    </row>
    <row r="23" spans="1:2" x14ac:dyDescent="0.25">
      <c r="A23" s="1" t="s">
        <v>411</v>
      </c>
      <c r="B23" t="s">
        <v>410</v>
      </c>
    </row>
    <row r="24" spans="1:2" x14ac:dyDescent="0.25">
      <c r="A24" s="1" t="s">
        <v>409</v>
      </c>
      <c r="B24" t="s">
        <v>408</v>
      </c>
    </row>
    <row r="25" spans="1:2" x14ac:dyDescent="0.25">
      <c r="A25" s="1" t="s">
        <v>407</v>
      </c>
      <c r="B25" t="s">
        <v>406</v>
      </c>
    </row>
    <row r="26" spans="1:2" x14ac:dyDescent="0.25">
      <c r="A26" s="1" t="s">
        <v>405</v>
      </c>
      <c r="B26" t="s">
        <v>404</v>
      </c>
    </row>
    <row r="27" spans="1:2" x14ac:dyDescent="0.25">
      <c r="A27" s="1" t="s">
        <v>403</v>
      </c>
      <c r="B27" t="s">
        <v>402</v>
      </c>
    </row>
    <row r="28" spans="1:2" x14ac:dyDescent="0.25">
      <c r="A28" s="1" t="s">
        <v>401</v>
      </c>
      <c r="B28" t="s">
        <v>400</v>
      </c>
    </row>
    <row r="29" spans="1:2" x14ac:dyDescent="0.25">
      <c r="A29" s="1" t="s">
        <v>399</v>
      </c>
      <c r="B29" t="s">
        <v>398</v>
      </c>
    </row>
    <row r="30" spans="1:2" x14ac:dyDescent="0.25">
      <c r="A30" s="1" t="s">
        <v>397</v>
      </c>
      <c r="B30" t="s">
        <v>396</v>
      </c>
    </row>
    <row r="31" spans="1:2" x14ac:dyDescent="0.25">
      <c r="A31" s="1" t="s">
        <v>395</v>
      </c>
      <c r="B31" t="s">
        <v>394</v>
      </c>
    </row>
    <row r="32" spans="1:2" x14ac:dyDescent="0.25">
      <c r="A32" s="1" t="s">
        <v>393</v>
      </c>
      <c r="B32" t="s">
        <v>392</v>
      </c>
    </row>
    <row r="33" spans="1:2" x14ac:dyDescent="0.25">
      <c r="A33" s="1" t="s">
        <v>391</v>
      </c>
      <c r="B33" t="s">
        <v>390</v>
      </c>
    </row>
    <row r="34" spans="1:2" x14ac:dyDescent="0.25">
      <c r="A34" s="1" t="s">
        <v>389</v>
      </c>
      <c r="B34" t="s">
        <v>388</v>
      </c>
    </row>
    <row r="35" spans="1:2" x14ac:dyDescent="0.25">
      <c r="A35" s="1" t="s">
        <v>387</v>
      </c>
      <c r="B35" t="s">
        <v>386</v>
      </c>
    </row>
    <row r="36" spans="1:2" x14ac:dyDescent="0.25">
      <c r="A36" s="1" t="s">
        <v>385</v>
      </c>
      <c r="B36" t="s">
        <v>384</v>
      </c>
    </row>
    <row r="37" spans="1:2" x14ac:dyDescent="0.25">
      <c r="A37" s="1" t="s">
        <v>383</v>
      </c>
      <c r="B37" t="s">
        <v>382</v>
      </c>
    </row>
    <row r="38" spans="1:2" x14ac:dyDescent="0.25">
      <c r="A38" s="1" t="s">
        <v>381</v>
      </c>
      <c r="B38" t="s">
        <v>380</v>
      </c>
    </row>
    <row r="39" spans="1:2" x14ac:dyDescent="0.25">
      <c r="A39" s="1" t="s">
        <v>379</v>
      </c>
      <c r="B39" t="s">
        <v>378</v>
      </c>
    </row>
    <row r="40" spans="1:2" x14ac:dyDescent="0.25">
      <c r="A40" s="1" t="s">
        <v>377</v>
      </c>
      <c r="B40" t="s">
        <v>376</v>
      </c>
    </row>
    <row r="41" spans="1:2" x14ac:dyDescent="0.25">
      <c r="A41" s="1" t="s">
        <v>375</v>
      </c>
      <c r="B41" t="s">
        <v>374</v>
      </c>
    </row>
    <row r="42" spans="1:2" x14ac:dyDescent="0.25">
      <c r="A42" s="1" t="s">
        <v>373</v>
      </c>
      <c r="B42" t="s">
        <v>372</v>
      </c>
    </row>
    <row r="43" spans="1:2" x14ac:dyDescent="0.25">
      <c r="A43" s="1" t="s">
        <v>371</v>
      </c>
      <c r="B43" t="s">
        <v>370</v>
      </c>
    </row>
    <row r="44" spans="1:2" x14ac:dyDescent="0.25">
      <c r="A44" s="1" t="s">
        <v>369</v>
      </c>
      <c r="B44" t="s">
        <v>368</v>
      </c>
    </row>
    <row r="45" spans="1:2" x14ac:dyDescent="0.25">
      <c r="A45" s="1" t="s">
        <v>367</v>
      </c>
      <c r="B45" t="s">
        <v>366</v>
      </c>
    </row>
    <row r="46" spans="1:2" x14ac:dyDescent="0.25">
      <c r="A46" s="1" t="s">
        <v>365</v>
      </c>
      <c r="B46" t="s">
        <v>364</v>
      </c>
    </row>
    <row r="47" spans="1:2" x14ac:dyDescent="0.25">
      <c r="A47" s="1" t="s">
        <v>363</v>
      </c>
      <c r="B47" t="s">
        <v>362</v>
      </c>
    </row>
    <row r="48" spans="1:2" x14ac:dyDescent="0.25">
      <c r="A48" s="1" t="s">
        <v>256</v>
      </c>
      <c r="B48" s="1" t="s">
        <v>361</v>
      </c>
    </row>
    <row r="49" spans="1:2" x14ac:dyDescent="0.25">
      <c r="A49" s="1" t="s">
        <v>360</v>
      </c>
      <c r="B49" t="s">
        <v>359</v>
      </c>
    </row>
    <row r="50" spans="1:2" x14ac:dyDescent="0.25">
      <c r="A50" s="1" t="s">
        <v>358</v>
      </c>
      <c r="B50" t="s">
        <v>357</v>
      </c>
    </row>
    <row r="51" spans="1:2" x14ac:dyDescent="0.25">
      <c r="A51" s="1" t="s">
        <v>356</v>
      </c>
      <c r="B51" t="s">
        <v>355</v>
      </c>
    </row>
    <row r="52" spans="1:2" x14ac:dyDescent="0.25">
      <c r="A52" s="1" t="s">
        <v>354</v>
      </c>
      <c r="B52" t="s">
        <v>353</v>
      </c>
    </row>
    <row r="53" spans="1:2" x14ac:dyDescent="0.25">
      <c r="A53" s="1" t="s">
        <v>352</v>
      </c>
      <c r="B53" t="s">
        <v>351</v>
      </c>
    </row>
    <row r="54" spans="1:2" x14ac:dyDescent="0.25">
      <c r="A54" s="1" t="s">
        <v>350</v>
      </c>
      <c r="B54" t="s">
        <v>349</v>
      </c>
    </row>
    <row r="55" spans="1:2" x14ac:dyDescent="0.25">
      <c r="A55" s="1" t="s">
        <v>348</v>
      </c>
      <c r="B55" t="s">
        <v>347</v>
      </c>
    </row>
    <row r="56" spans="1:2" x14ac:dyDescent="0.25">
      <c r="A56" s="1" t="s">
        <v>346</v>
      </c>
      <c r="B56" t="s">
        <v>345</v>
      </c>
    </row>
    <row r="57" spans="1:2" x14ac:dyDescent="0.25">
      <c r="A57" s="1" t="s">
        <v>344</v>
      </c>
      <c r="B57" t="s">
        <v>343</v>
      </c>
    </row>
    <row r="58" spans="1:2" x14ac:dyDescent="0.25">
      <c r="A58" s="1" t="s">
        <v>342</v>
      </c>
      <c r="B58" t="s">
        <v>341</v>
      </c>
    </row>
    <row r="59" spans="1:2" x14ac:dyDescent="0.25">
      <c r="A59" s="1" t="s">
        <v>340</v>
      </c>
      <c r="B59" t="s">
        <v>339</v>
      </c>
    </row>
    <row r="60" spans="1:2" x14ac:dyDescent="0.25">
      <c r="A60" s="1" t="s">
        <v>338</v>
      </c>
      <c r="B60" t="s">
        <v>337</v>
      </c>
    </row>
    <row r="61" spans="1:2" x14ac:dyDescent="0.25">
      <c r="A61" s="1" t="s">
        <v>336</v>
      </c>
      <c r="B61" t="s">
        <v>335</v>
      </c>
    </row>
    <row r="62" spans="1:2" x14ac:dyDescent="0.25">
      <c r="A62" s="1" t="s">
        <v>334</v>
      </c>
      <c r="B62" t="s">
        <v>333</v>
      </c>
    </row>
    <row r="63" spans="1:2" x14ac:dyDescent="0.25">
      <c r="A63" s="1" t="s">
        <v>332</v>
      </c>
      <c r="B63" t="s">
        <v>331</v>
      </c>
    </row>
    <row r="64" spans="1:2" x14ac:dyDescent="0.25">
      <c r="A64" s="1" t="s">
        <v>330</v>
      </c>
      <c r="B64" t="s">
        <v>329</v>
      </c>
    </row>
    <row r="65" spans="1:2" x14ac:dyDescent="0.25">
      <c r="A65" s="1" t="s">
        <v>328</v>
      </c>
      <c r="B65" t="s">
        <v>327</v>
      </c>
    </row>
    <row r="66" spans="1:2" x14ac:dyDescent="0.25">
      <c r="A66" s="1" t="s">
        <v>326</v>
      </c>
      <c r="B66" t="s">
        <v>325</v>
      </c>
    </row>
    <row r="67" spans="1:2" x14ac:dyDescent="0.25">
      <c r="A67" s="1" t="s">
        <v>324</v>
      </c>
      <c r="B67" t="s">
        <v>323</v>
      </c>
    </row>
    <row r="68" spans="1:2" x14ac:dyDescent="0.25">
      <c r="A68" s="1" t="s">
        <v>322</v>
      </c>
      <c r="B68" t="s">
        <v>321</v>
      </c>
    </row>
    <row r="69" spans="1:2" x14ac:dyDescent="0.25">
      <c r="A69" s="1" t="s">
        <v>320</v>
      </c>
      <c r="B69" t="s">
        <v>319</v>
      </c>
    </row>
    <row r="70" spans="1:2" x14ac:dyDescent="0.25">
      <c r="A70" s="1" t="s">
        <v>318</v>
      </c>
      <c r="B70" t="s">
        <v>317</v>
      </c>
    </row>
    <row r="71" spans="1:2" x14ac:dyDescent="0.25">
      <c r="A71" s="1" t="s">
        <v>316</v>
      </c>
      <c r="B71" t="s">
        <v>315</v>
      </c>
    </row>
    <row r="72" spans="1:2" x14ac:dyDescent="0.25">
      <c r="A72" s="1" t="s">
        <v>314</v>
      </c>
      <c r="B72" t="s">
        <v>313</v>
      </c>
    </row>
    <row r="73" spans="1:2" x14ac:dyDescent="0.25">
      <c r="A73" s="1" t="s">
        <v>312</v>
      </c>
      <c r="B73" t="s">
        <v>311</v>
      </c>
    </row>
    <row r="74" spans="1:2" x14ac:dyDescent="0.25">
      <c r="A74" s="1" t="s">
        <v>310</v>
      </c>
      <c r="B74" t="s">
        <v>309</v>
      </c>
    </row>
    <row r="75" spans="1:2" x14ac:dyDescent="0.25">
      <c r="A75" s="1" t="s">
        <v>308</v>
      </c>
      <c r="B75" t="s">
        <v>307</v>
      </c>
    </row>
    <row r="76" spans="1:2" x14ac:dyDescent="0.25">
      <c r="A76" s="1" t="s">
        <v>217</v>
      </c>
      <c r="B76" t="s">
        <v>1139</v>
      </c>
    </row>
    <row r="77" spans="1:2" x14ac:dyDescent="0.25">
      <c r="A77" s="1" t="s">
        <v>213</v>
      </c>
      <c r="B77" t="s">
        <v>306</v>
      </c>
    </row>
    <row r="78" spans="1:2" x14ac:dyDescent="0.25">
      <c r="A78" s="1" t="s">
        <v>252</v>
      </c>
      <c r="B78" s="68" t="s">
        <v>1140</v>
      </c>
    </row>
    <row r="79" spans="1:2" x14ac:dyDescent="0.25">
      <c r="A79" s="1" t="s">
        <v>230</v>
      </c>
      <c r="B79" t="s">
        <v>305</v>
      </c>
    </row>
    <row r="80" spans="1:2" x14ac:dyDescent="0.25">
      <c r="A80" s="1" t="s">
        <v>304</v>
      </c>
      <c r="B80" t="s">
        <v>303</v>
      </c>
    </row>
    <row r="81" spans="1:2" x14ac:dyDescent="0.25">
      <c r="A81" s="1" t="s">
        <v>224</v>
      </c>
      <c r="B81" t="s">
        <v>302</v>
      </c>
    </row>
    <row r="82" spans="1:2" x14ac:dyDescent="0.25">
      <c r="A82" s="1" t="s">
        <v>269</v>
      </c>
      <c r="B82" t="s">
        <v>301</v>
      </c>
    </row>
    <row r="83" spans="1:2" x14ac:dyDescent="0.25">
      <c r="A83" s="1" t="s">
        <v>261</v>
      </c>
      <c r="B83" t="s">
        <v>300</v>
      </c>
    </row>
    <row r="84" spans="1:2" x14ac:dyDescent="0.25">
      <c r="A84" s="1" t="s">
        <v>228</v>
      </c>
      <c r="B84" t="s">
        <v>299</v>
      </c>
    </row>
    <row r="85" spans="1:2" x14ac:dyDescent="0.25">
      <c r="A85" s="1" t="s">
        <v>219</v>
      </c>
      <c r="B85" t="s">
        <v>298</v>
      </c>
    </row>
    <row r="86" spans="1:2" x14ac:dyDescent="0.25">
      <c r="A86" s="1" t="s">
        <v>258</v>
      </c>
      <c r="B86" t="s">
        <v>297</v>
      </c>
    </row>
    <row r="87" spans="1:2" x14ac:dyDescent="0.25">
      <c r="A87" s="1" t="s">
        <v>235</v>
      </c>
      <c r="B87" t="s">
        <v>296</v>
      </c>
    </row>
    <row r="88" spans="1:2" x14ac:dyDescent="0.25">
      <c r="A88" s="1" t="s">
        <v>233</v>
      </c>
      <c r="B88" t="s">
        <v>295</v>
      </c>
    </row>
    <row r="89" spans="1:2" x14ac:dyDescent="0.25">
      <c r="A89" s="1" t="s">
        <v>249</v>
      </c>
      <c r="B89" t="s">
        <v>294</v>
      </c>
    </row>
    <row r="90" spans="1:2" x14ac:dyDescent="0.25">
      <c r="A90" s="1" t="s">
        <v>247</v>
      </c>
      <c r="B90" t="s">
        <v>293</v>
      </c>
    </row>
    <row r="91" spans="1:2" x14ac:dyDescent="0.25">
      <c r="A91" s="1" t="s">
        <v>239</v>
      </c>
      <c r="B91" t="s">
        <v>292</v>
      </c>
    </row>
    <row r="92" spans="1:2" x14ac:dyDescent="0.25">
      <c r="A92" s="1" t="s">
        <v>237</v>
      </c>
      <c r="B92" s="70" t="s">
        <v>1144</v>
      </c>
    </row>
    <row r="93" spans="1:2" x14ac:dyDescent="0.25">
      <c r="A93" s="1" t="s">
        <v>221</v>
      </c>
      <c r="B93" t="s">
        <v>291</v>
      </c>
    </row>
    <row r="94" spans="1:2" x14ac:dyDescent="0.25">
      <c r="A94" s="1" t="s">
        <v>226</v>
      </c>
      <c r="B94" t="s">
        <v>290</v>
      </c>
    </row>
    <row r="95" spans="1:2" x14ac:dyDescent="0.25">
      <c r="A95" s="1" t="s">
        <v>646</v>
      </c>
      <c r="B95" t="s">
        <v>647</v>
      </c>
    </row>
    <row r="96" spans="1:2" x14ac:dyDescent="0.25">
      <c r="A96" s="1" t="s">
        <v>648</v>
      </c>
      <c r="B96" t="s">
        <v>649</v>
      </c>
    </row>
    <row r="97" spans="1:2" x14ac:dyDescent="0.25">
      <c r="A97" s="1" t="s">
        <v>650</v>
      </c>
      <c r="B97" t="s">
        <v>1141</v>
      </c>
    </row>
    <row r="98" spans="1:2" x14ac:dyDescent="0.25">
      <c r="A98" s="1" t="s">
        <v>653</v>
      </c>
      <c r="B98" t="s">
        <v>654</v>
      </c>
    </row>
    <row r="99" spans="1:2" x14ac:dyDescent="0.25">
      <c r="A99" s="1" t="s">
        <v>1041</v>
      </c>
      <c r="B99" t="s">
        <v>1042</v>
      </c>
    </row>
    <row r="100" spans="1:2" x14ac:dyDescent="0.25">
      <c r="B100" s="69" t="s">
        <v>1142</v>
      </c>
    </row>
    <row r="101" spans="1:2" x14ac:dyDescent="0.25">
      <c r="B101" s="69" t="s">
        <v>1143</v>
      </c>
    </row>
  </sheetData>
  <dataValidations count="1">
    <dataValidation allowBlank="1" showInputMessage="1" showErrorMessage="1" errorTitle="Error" error="debe ingresar un nombre que tenga entre 3 y 40 carácteres " promptTitle=" " sqref="B78"/>
  </dataValidations>
  <pageMargins left="0.7" right="0.7" top="0.75" bottom="0.75" header="0.3" footer="0.3"/>
  <pageSetup orientation="landscape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 filterMode="1">
    <tabColor rgb="FFFFFF00"/>
  </sheetPr>
  <dimension ref="A1:I1999"/>
  <sheetViews>
    <sheetView zoomScaleNormal="100" workbookViewId="0">
      <selection activeCell="B28" sqref="B28:I40"/>
    </sheetView>
  </sheetViews>
  <sheetFormatPr baseColWidth="10" defaultRowHeight="15" x14ac:dyDescent="0.25"/>
  <cols>
    <col min="2" max="2" width="15" style="1" bestFit="1" customWidth="1"/>
    <col min="3" max="6" width="11.42578125" style="1"/>
    <col min="7" max="8" width="11.42578125" style="34"/>
    <col min="9" max="9" width="11.42578125" style="1"/>
  </cols>
  <sheetData>
    <row r="1" spans="1:9" x14ac:dyDescent="0.25">
      <c r="A1" t="s">
        <v>22</v>
      </c>
      <c r="B1" s="1" t="s">
        <v>455</v>
      </c>
      <c r="C1" s="1" t="s">
        <v>4</v>
      </c>
      <c r="D1" s="1" t="s">
        <v>1085</v>
      </c>
      <c r="E1" s="1" t="s">
        <v>481</v>
      </c>
      <c r="F1" s="1" t="s">
        <v>1084</v>
      </c>
      <c r="G1" s="34" t="s">
        <v>1083</v>
      </c>
      <c r="H1" s="34" t="s">
        <v>1082</v>
      </c>
      <c r="I1" s="1" t="s">
        <v>276</v>
      </c>
    </row>
    <row r="2" spans="1:9" hidden="1" x14ac:dyDescent="0.25">
      <c r="A2" t="s">
        <v>651</v>
      </c>
      <c r="B2" s="1" t="s">
        <v>252</v>
      </c>
      <c r="C2" s="1" t="s">
        <v>1079</v>
      </c>
      <c r="D2" s="1" t="s">
        <v>1059</v>
      </c>
      <c r="E2" s="1" t="s">
        <v>1064</v>
      </c>
      <c r="F2" s="1" t="s">
        <v>1081</v>
      </c>
      <c r="G2" s="18">
        <v>357.36</v>
      </c>
      <c r="H2" s="18">
        <v>3.57</v>
      </c>
      <c r="I2" s="1" t="s">
        <v>747</v>
      </c>
    </row>
    <row r="3" spans="1:9" hidden="1" x14ac:dyDescent="0.25">
      <c r="A3" t="s">
        <v>651</v>
      </c>
      <c r="B3" s="1" t="s">
        <v>252</v>
      </c>
      <c r="C3" s="1" t="s">
        <v>1079</v>
      </c>
      <c r="D3" s="1" t="s">
        <v>1059</v>
      </c>
      <c r="E3" s="1" t="s">
        <v>1064</v>
      </c>
      <c r="F3" s="1" t="s">
        <v>1080</v>
      </c>
      <c r="G3" s="18">
        <v>152.65</v>
      </c>
      <c r="H3" s="18">
        <v>1.53</v>
      </c>
      <c r="I3" s="1" t="s">
        <v>747</v>
      </c>
    </row>
    <row r="4" spans="1:9" hidden="1" x14ac:dyDescent="0.25">
      <c r="A4" t="s">
        <v>651</v>
      </c>
      <c r="B4" s="1" t="s">
        <v>252</v>
      </c>
      <c r="C4" s="1" t="s">
        <v>1079</v>
      </c>
      <c r="D4" s="1" t="s">
        <v>1059</v>
      </c>
      <c r="E4" s="1" t="s">
        <v>1064</v>
      </c>
      <c r="F4" s="1" t="s">
        <v>1078</v>
      </c>
      <c r="G4" s="18">
        <v>152.65</v>
      </c>
      <c r="H4" s="18">
        <v>1.53</v>
      </c>
      <c r="I4" s="1" t="s">
        <v>747</v>
      </c>
    </row>
    <row r="5" spans="1:9" hidden="1" x14ac:dyDescent="0.25">
      <c r="A5" t="s">
        <v>651</v>
      </c>
      <c r="B5" s="1" t="s">
        <v>252</v>
      </c>
      <c r="C5" s="1" t="s">
        <v>1076</v>
      </c>
      <c r="D5" s="1" t="s">
        <v>1059</v>
      </c>
      <c r="E5" s="1" t="s">
        <v>1064</v>
      </c>
      <c r="F5" s="1" t="s">
        <v>1077</v>
      </c>
      <c r="G5" s="18">
        <v>152.65</v>
      </c>
      <c r="H5" s="18">
        <v>1.53</v>
      </c>
      <c r="I5" s="1" t="s">
        <v>747</v>
      </c>
    </row>
    <row r="6" spans="1:9" hidden="1" x14ac:dyDescent="0.25">
      <c r="A6" t="s">
        <v>651</v>
      </c>
      <c r="B6" s="1" t="s">
        <v>252</v>
      </c>
      <c r="C6" s="1" t="s">
        <v>1076</v>
      </c>
      <c r="D6" s="1" t="s">
        <v>1059</v>
      </c>
      <c r="E6" s="1" t="s">
        <v>1064</v>
      </c>
      <c r="F6" s="1" t="s">
        <v>1075</v>
      </c>
      <c r="G6" s="18">
        <v>357.36</v>
      </c>
      <c r="H6" s="18">
        <v>3.57</v>
      </c>
      <c r="I6" s="1" t="s">
        <v>747</v>
      </c>
    </row>
    <row r="7" spans="1:9" hidden="1" x14ac:dyDescent="0.25">
      <c r="A7" t="s">
        <v>651</v>
      </c>
      <c r="B7" s="1" t="s">
        <v>252</v>
      </c>
      <c r="C7" s="1" t="s">
        <v>1074</v>
      </c>
      <c r="D7" s="1" t="s">
        <v>1059</v>
      </c>
      <c r="E7" s="1" t="s">
        <v>1064</v>
      </c>
      <c r="F7" s="1" t="s">
        <v>1073</v>
      </c>
      <c r="G7" s="18">
        <v>152.65</v>
      </c>
      <c r="H7" s="18">
        <v>1.53</v>
      </c>
      <c r="I7" s="1" t="s">
        <v>747</v>
      </c>
    </row>
    <row r="8" spans="1:9" hidden="1" x14ac:dyDescent="0.25">
      <c r="A8" t="s">
        <v>651</v>
      </c>
      <c r="B8" s="1" t="s">
        <v>252</v>
      </c>
      <c r="C8" s="1" t="s">
        <v>1072</v>
      </c>
      <c r="D8" s="1" t="s">
        <v>1059</v>
      </c>
      <c r="E8" s="1" t="s">
        <v>1064</v>
      </c>
      <c r="F8" s="1" t="s">
        <v>1071</v>
      </c>
      <c r="G8" s="18">
        <v>357.36</v>
      </c>
      <c r="H8" s="18">
        <v>3.57</v>
      </c>
      <c r="I8" s="1" t="s">
        <v>747</v>
      </c>
    </row>
    <row r="9" spans="1:9" hidden="1" x14ac:dyDescent="0.25">
      <c r="A9" t="s">
        <v>651</v>
      </c>
      <c r="B9" s="1" t="s">
        <v>252</v>
      </c>
      <c r="C9" s="1" t="s">
        <v>1069</v>
      </c>
      <c r="D9" s="1" t="s">
        <v>1059</v>
      </c>
      <c r="E9" s="1" t="s">
        <v>1064</v>
      </c>
      <c r="F9" s="1" t="s">
        <v>1070</v>
      </c>
      <c r="G9" s="18">
        <v>152.65</v>
      </c>
      <c r="H9" s="18">
        <v>1.53</v>
      </c>
      <c r="I9" s="1" t="s">
        <v>747</v>
      </c>
    </row>
    <row r="10" spans="1:9" hidden="1" x14ac:dyDescent="0.25">
      <c r="A10" t="s">
        <v>651</v>
      </c>
      <c r="B10" s="1" t="s">
        <v>252</v>
      </c>
      <c r="C10" s="1" t="s">
        <v>1069</v>
      </c>
      <c r="D10" s="1" t="s">
        <v>1059</v>
      </c>
      <c r="E10" s="1" t="s">
        <v>1064</v>
      </c>
      <c r="F10" s="1" t="s">
        <v>1068</v>
      </c>
      <c r="G10" s="18">
        <v>368.94</v>
      </c>
      <c r="H10" s="18">
        <v>3.69</v>
      </c>
      <c r="I10" s="1" t="s">
        <v>747</v>
      </c>
    </row>
    <row r="11" spans="1:9" hidden="1" x14ac:dyDescent="0.25">
      <c r="A11" t="s">
        <v>651</v>
      </c>
      <c r="B11" s="1" t="s">
        <v>252</v>
      </c>
      <c r="C11" s="1" t="s">
        <v>1067</v>
      </c>
      <c r="D11" s="1" t="s">
        <v>1059</v>
      </c>
      <c r="E11" s="1" t="s">
        <v>1064</v>
      </c>
      <c r="F11" s="1" t="s">
        <v>1066</v>
      </c>
      <c r="G11" s="18">
        <v>152.65</v>
      </c>
      <c r="H11" s="18">
        <v>1.53</v>
      </c>
      <c r="I11" s="1" t="s">
        <v>747</v>
      </c>
    </row>
    <row r="12" spans="1:9" hidden="1" x14ac:dyDescent="0.25">
      <c r="A12" t="s">
        <v>651</v>
      </c>
      <c r="B12" s="1" t="s">
        <v>252</v>
      </c>
      <c r="C12" s="1" t="s">
        <v>1065</v>
      </c>
      <c r="D12" s="1" t="s">
        <v>1059</v>
      </c>
      <c r="E12" s="1" t="s">
        <v>1064</v>
      </c>
      <c r="F12" s="1" t="s">
        <v>1063</v>
      </c>
      <c r="G12" s="18">
        <v>152.65</v>
      </c>
      <c r="H12" s="18">
        <v>1.53</v>
      </c>
      <c r="I12" s="1" t="s">
        <v>747</v>
      </c>
    </row>
    <row r="13" spans="1:9" hidden="1" x14ac:dyDescent="0.25">
      <c r="A13" t="s">
        <v>651</v>
      </c>
      <c r="B13" s="1" t="s">
        <v>247</v>
      </c>
      <c r="C13" s="1" t="s">
        <v>638</v>
      </c>
      <c r="D13" s="1" t="s">
        <v>1059</v>
      </c>
      <c r="E13" s="1" t="s">
        <v>1062</v>
      </c>
      <c r="F13" s="1" t="s">
        <v>1061</v>
      </c>
      <c r="G13" s="18">
        <v>750</v>
      </c>
      <c r="H13" s="18">
        <v>7.5</v>
      </c>
      <c r="I13" s="1" t="s">
        <v>747</v>
      </c>
    </row>
    <row r="14" spans="1:9" hidden="1" x14ac:dyDescent="0.25">
      <c r="A14" t="s">
        <v>651</v>
      </c>
      <c r="B14" s="1" t="s">
        <v>217</v>
      </c>
      <c r="C14" s="1" t="s">
        <v>1060</v>
      </c>
      <c r="D14" s="1" t="s">
        <v>1059</v>
      </c>
      <c r="E14" s="1" t="s">
        <v>1058</v>
      </c>
      <c r="F14" s="1" t="s">
        <v>1057</v>
      </c>
      <c r="G14" s="18">
        <v>5759.8</v>
      </c>
      <c r="H14" s="18">
        <v>57.6</v>
      </c>
      <c r="I14" s="1" t="s">
        <v>747</v>
      </c>
    </row>
    <row r="15" spans="1:9" hidden="1" x14ac:dyDescent="0.25">
      <c r="A15" t="s">
        <v>843</v>
      </c>
      <c r="B15" s="1" t="s">
        <v>252</v>
      </c>
      <c r="C15" s="1" t="s">
        <v>1116</v>
      </c>
      <c r="D15" s="1" t="s">
        <v>1059</v>
      </c>
      <c r="E15" s="1" t="s">
        <v>1064</v>
      </c>
      <c r="F15" s="1" t="s">
        <v>1117</v>
      </c>
      <c r="G15" s="34">
        <v>152.65</v>
      </c>
      <c r="H15" s="34">
        <v>1.53</v>
      </c>
      <c r="I15" s="1" t="s">
        <v>747</v>
      </c>
    </row>
    <row r="16" spans="1:9" hidden="1" x14ac:dyDescent="0.25">
      <c r="A16" t="s">
        <v>843</v>
      </c>
      <c r="B16" s="1" t="s">
        <v>252</v>
      </c>
      <c r="C16" s="1" t="s">
        <v>1116</v>
      </c>
      <c r="D16" s="1" t="s">
        <v>1059</v>
      </c>
      <c r="E16" s="1" t="s">
        <v>1064</v>
      </c>
      <c r="F16" s="1" t="s">
        <v>1118</v>
      </c>
      <c r="G16" s="34">
        <v>152.65</v>
      </c>
      <c r="H16" s="34">
        <v>1.53</v>
      </c>
      <c r="I16" s="1" t="s">
        <v>747</v>
      </c>
    </row>
    <row r="17" spans="1:9" hidden="1" x14ac:dyDescent="0.25">
      <c r="A17" t="s">
        <v>843</v>
      </c>
      <c r="B17" s="1" t="s">
        <v>650</v>
      </c>
      <c r="C17" s="1" t="s">
        <v>1060</v>
      </c>
      <c r="D17" s="1" t="s">
        <v>1059</v>
      </c>
      <c r="E17" s="1" t="s">
        <v>1062</v>
      </c>
      <c r="F17" s="1" t="s">
        <v>1119</v>
      </c>
      <c r="G17" s="34">
        <v>143.63999999999999</v>
      </c>
      <c r="H17" s="34">
        <v>1.44</v>
      </c>
      <c r="I17" s="1" t="s">
        <v>747</v>
      </c>
    </row>
    <row r="18" spans="1:9" hidden="1" x14ac:dyDescent="0.25">
      <c r="A18" t="s">
        <v>843</v>
      </c>
      <c r="B18" s="1" t="s">
        <v>650</v>
      </c>
      <c r="C18" s="1" t="s">
        <v>1060</v>
      </c>
      <c r="D18" s="1" t="s">
        <v>1059</v>
      </c>
      <c r="E18" s="1" t="s">
        <v>1062</v>
      </c>
      <c r="F18" s="1" t="s">
        <v>1120</v>
      </c>
      <c r="G18" s="34">
        <v>183.69</v>
      </c>
      <c r="H18" s="34">
        <v>1.84</v>
      </c>
      <c r="I18" s="1" t="s">
        <v>747</v>
      </c>
    </row>
    <row r="19" spans="1:9" hidden="1" x14ac:dyDescent="0.25">
      <c r="A19" t="s">
        <v>843</v>
      </c>
      <c r="B19" s="1" t="s">
        <v>650</v>
      </c>
      <c r="C19" s="1" t="s">
        <v>1121</v>
      </c>
      <c r="D19" s="1" t="s">
        <v>1059</v>
      </c>
      <c r="E19" s="1" t="s">
        <v>1062</v>
      </c>
      <c r="F19" s="1" t="s">
        <v>1122</v>
      </c>
      <c r="G19" s="34">
        <v>143.63999999999999</v>
      </c>
      <c r="H19" s="34">
        <v>1.44</v>
      </c>
      <c r="I19" s="1" t="s">
        <v>747</v>
      </c>
    </row>
    <row r="20" spans="1:9" hidden="1" x14ac:dyDescent="0.25">
      <c r="A20" t="s">
        <v>843</v>
      </c>
      <c r="B20" s="1" t="s">
        <v>221</v>
      </c>
      <c r="C20" s="1" t="s">
        <v>667</v>
      </c>
      <c r="D20" s="1" t="s">
        <v>1059</v>
      </c>
      <c r="E20" s="1" t="s">
        <v>1058</v>
      </c>
      <c r="F20" s="1" t="s">
        <v>1123</v>
      </c>
      <c r="G20" s="34">
        <v>141.1</v>
      </c>
      <c r="H20" s="34">
        <v>1.41</v>
      </c>
      <c r="I20" s="1" t="s">
        <v>747</v>
      </c>
    </row>
    <row r="21" spans="1:9" hidden="1" x14ac:dyDescent="0.25">
      <c r="A21" t="s">
        <v>843</v>
      </c>
      <c r="B21" s="1" t="s">
        <v>304</v>
      </c>
      <c r="C21" s="1" t="s">
        <v>1124</v>
      </c>
      <c r="D21" s="1" t="s">
        <v>1059</v>
      </c>
      <c r="E21" s="1" t="s">
        <v>1062</v>
      </c>
      <c r="F21" s="1" t="s">
        <v>1125</v>
      </c>
      <c r="G21" s="34">
        <v>165.92</v>
      </c>
      <c r="H21" s="34">
        <v>1.66</v>
      </c>
      <c r="I21" s="1" t="s">
        <v>747</v>
      </c>
    </row>
    <row r="22" spans="1:9" hidden="1" x14ac:dyDescent="0.25">
      <c r="A22" t="s">
        <v>843</v>
      </c>
      <c r="B22" s="1" t="s">
        <v>247</v>
      </c>
      <c r="C22" s="1" t="s">
        <v>1126</v>
      </c>
      <c r="D22" s="1" t="s">
        <v>1059</v>
      </c>
      <c r="E22" s="1" t="s">
        <v>1062</v>
      </c>
      <c r="F22" s="1" t="s">
        <v>1127</v>
      </c>
      <c r="G22" s="34">
        <v>840</v>
      </c>
      <c r="H22" s="34">
        <v>8.4</v>
      </c>
      <c r="I22" s="1" t="s">
        <v>747</v>
      </c>
    </row>
    <row r="23" spans="1:9" hidden="1" x14ac:dyDescent="0.25">
      <c r="A23" t="s">
        <v>843</v>
      </c>
      <c r="B23" s="1" t="s">
        <v>247</v>
      </c>
      <c r="C23" s="1" t="s">
        <v>1128</v>
      </c>
      <c r="D23" s="1" t="s">
        <v>1059</v>
      </c>
      <c r="E23" s="1" t="s">
        <v>1062</v>
      </c>
      <c r="F23" s="1" t="s">
        <v>1129</v>
      </c>
      <c r="G23" s="34">
        <v>750</v>
      </c>
      <c r="H23" s="34">
        <v>7.5</v>
      </c>
      <c r="I23" s="1" t="s">
        <v>747</v>
      </c>
    </row>
    <row r="24" spans="1:9" hidden="1" x14ac:dyDescent="0.25">
      <c r="A24" t="s">
        <v>843</v>
      </c>
      <c r="B24" s="1" t="s">
        <v>304</v>
      </c>
      <c r="C24" s="1" t="s">
        <v>1130</v>
      </c>
      <c r="D24" s="1" t="s">
        <v>1059</v>
      </c>
      <c r="E24" s="1" t="s">
        <v>1062</v>
      </c>
      <c r="F24" s="1" t="s">
        <v>1131</v>
      </c>
      <c r="G24" s="34">
        <v>165.92</v>
      </c>
      <c r="H24" s="34">
        <v>1.66</v>
      </c>
      <c r="I24" s="1" t="s">
        <v>747</v>
      </c>
    </row>
    <row r="25" spans="1:9" hidden="1" x14ac:dyDescent="0.25">
      <c r="A25" t="s">
        <v>843</v>
      </c>
      <c r="B25" s="1" t="s">
        <v>233</v>
      </c>
      <c r="C25" s="1" t="s">
        <v>635</v>
      </c>
      <c r="D25" s="1" t="s">
        <v>1059</v>
      </c>
      <c r="E25" s="1" t="s">
        <v>1132</v>
      </c>
      <c r="F25" s="1" t="s">
        <v>1133</v>
      </c>
      <c r="G25" s="34">
        <v>150</v>
      </c>
      <c r="H25" s="34">
        <v>1.5</v>
      </c>
      <c r="I25" s="1" t="s">
        <v>747</v>
      </c>
    </row>
    <row r="26" spans="1:9" hidden="1" x14ac:dyDescent="0.25">
      <c r="A26" t="s">
        <v>843</v>
      </c>
      <c r="B26" s="1" t="s">
        <v>237</v>
      </c>
      <c r="C26" s="1" t="s">
        <v>1134</v>
      </c>
      <c r="D26" s="1" t="s">
        <v>1059</v>
      </c>
      <c r="E26" s="1" t="s">
        <v>1062</v>
      </c>
      <c r="F26" s="1" t="s">
        <v>1135</v>
      </c>
      <c r="G26" s="34">
        <v>377.6</v>
      </c>
      <c r="H26" s="34">
        <v>3.78</v>
      </c>
      <c r="I26" s="1" t="s">
        <v>747</v>
      </c>
    </row>
    <row r="27" spans="1:9" hidden="1" x14ac:dyDescent="0.25">
      <c r="A27" t="s">
        <v>843</v>
      </c>
      <c r="B27" s="1" t="s">
        <v>217</v>
      </c>
      <c r="C27" s="1" t="s">
        <v>1121</v>
      </c>
      <c r="D27" s="1" t="s">
        <v>1059</v>
      </c>
      <c r="E27" s="1" t="s">
        <v>1058</v>
      </c>
      <c r="F27" s="1" t="s">
        <v>1136</v>
      </c>
      <c r="G27" s="34">
        <v>19831</v>
      </c>
      <c r="H27" s="34">
        <v>198.31</v>
      </c>
      <c r="I27" s="1" t="s">
        <v>747</v>
      </c>
    </row>
    <row r="28" spans="1:9" x14ac:dyDescent="0.25">
      <c r="A28" t="s">
        <v>1145</v>
      </c>
      <c r="B28" s="1" t="s">
        <v>221</v>
      </c>
      <c r="C28" s="1" t="s">
        <v>1381</v>
      </c>
      <c r="D28" s="1" t="s">
        <v>1059</v>
      </c>
      <c r="E28" s="1" t="s">
        <v>1058</v>
      </c>
      <c r="F28" s="1" t="s">
        <v>1382</v>
      </c>
      <c r="G28" s="34">
        <v>141.1</v>
      </c>
      <c r="H28" s="34">
        <v>1.41</v>
      </c>
      <c r="I28" s="1" t="s">
        <v>747</v>
      </c>
    </row>
    <row r="29" spans="1:9" x14ac:dyDescent="0.25">
      <c r="A29" t="s">
        <v>1145</v>
      </c>
      <c r="B29" s="1" t="s">
        <v>221</v>
      </c>
      <c r="C29" s="1" t="s">
        <v>1381</v>
      </c>
      <c r="D29" s="1" t="s">
        <v>1059</v>
      </c>
      <c r="E29" s="1" t="s">
        <v>1058</v>
      </c>
      <c r="F29" s="1" t="s">
        <v>1383</v>
      </c>
      <c r="G29" s="34">
        <v>141.1</v>
      </c>
      <c r="H29" s="34">
        <v>1.41</v>
      </c>
      <c r="I29" s="1" t="s">
        <v>747</v>
      </c>
    </row>
    <row r="30" spans="1:9" x14ac:dyDescent="0.25">
      <c r="A30" t="s">
        <v>1145</v>
      </c>
      <c r="B30" s="1" t="s">
        <v>213</v>
      </c>
      <c r="C30" s="1" t="s">
        <v>1384</v>
      </c>
      <c r="D30" s="1" t="s">
        <v>1059</v>
      </c>
      <c r="E30" s="1" t="s">
        <v>1385</v>
      </c>
      <c r="F30" s="1" t="s">
        <v>1386</v>
      </c>
      <c r="G30" s="34">
        <v>689.2</v>
      </c>
      <c r="H30" s="34">
        <v>6.89</v>
      </c>
      <c r="I30" s="1" t="s">
        <v>747</v>
      </c>
    </row>
    <row r="31" spans="1:9" x14ac:dyDescent="0.25">
      <c r="A31" t="s">
        <v>1145</v>
      </c>
      <c r="B31" s="1" t="s">
        <v>213</v>
      </c>
      <c r="C31" s="1" t="s">
        <v>1060</v>
      </c>
      <c r="D31" s="1" t="s">
        <v>1059</v>
      </c>
      <c r="E31" s="1" t="s">
        <v>1385</v>
      </c>
      <c r="F31" s="1" t="s">
        <v>243</v>
      </c>
      <c r="G31" s="34">
        <v>2607</v>
      </c>
      <c r="H31" s="34">
        <v>26.07</v>
      </c>
      <c r="I31" s="1" t="s">
        <v>747</v>
      </c>
    </row>
    <row r="32" spans="1:9" x14ac:dyDescent="0.25">
      <c r="A32" t="s">
        <v>1145</v>
      </c>
      <c r="B32" s="1" t="s">
        <v>213</v>
      </c>
      <c r="C32" s="1" t="s">
        <v>1121</v>
      </c>
      <c r="D32" s="1" t="s">
        <v>1059</v>
      </c>
      <c r="E32" s="1" t="s">
        <v>1385</v>
      </c>
      <c r="F32" s="1" t="s">
        <v>1036</v>
      </c>
      <c r="G32" s="34">
        <v>344.6</v>
      </c>
      <c r="H32" s="34">
        <v>3.45</v>
      </c>
      <c r="I32" s="1" t="s">
        <v>747</v>
      </c>
    </row>
    <row r="33" spans="1:9" x14ac:dyDescent="0.25">
      <c r="A33" t="s">
        <v>1145</v>
      </c>
      <c r="B33" s="1" t="s">
        <v>213</v>
      </c>
      <c r="C33" s="1" t="s">
        <v>1121</v>
      </c>
      <c r="D33" s="1" t="s">
        <v>1059</v>
      </c>
      <c r="E33" s="1" t="s">
        <v>1385</v>
      </c>
      <c r="F33" s="1" t="s">
        <v>1037</v>
      </c>
      <c r="G33" s="34">
        <v>2660.6</v>
      </c>
      <c r="H33" s="34">
        <v>26.61</v>
      </c>
      <c r="I33" s="1" t="s">
        <v>747</v>
      </c>
    </row>
    <row r="34" spans="1:9" x14ac:dyDescent="0.25">
      <c r="A34" t="s">
        <v>1145</v>
      </c>
      <c r="B34" s="1" t="s">
        <v>213</v>
      </c>
      <c r="C34" s="1" t="s">
        <v>1387</v>
      </c>
      <c r="D34" s="1" t="s">
        <v>1059</v>
      </c>
      <c r="E34" s="1" t="s">
        <v>1385</v>
      </c>
      <c r="F34" s="1" t="s">
        <v>1388</v>
      </c>
      <c r="G34" s="34">
        <v>344.6</v>
      </c>
      <c r="H34" s="34">
        <v>3.45</v>
      </c>
      <c r="I34" s="1" t="s">
        <v>747</v>
      </c>
    </row>
    <row r="35" spans="1:9" x14ac:dyDescent="0.25">
      <c r="A35" t="s">
        <v>1145</v>
      </c>
      <c r="B35" s="1" t="s">
        <v>213</v>
      </c>
      <c r="C35" s="1" t="s">
        <v>1389</v>
      </c>
      <c r="D35" s="1" t="s">
        <v>1059</v>
      </c>
      <c r="E35" s="1" t="s">
        <v>1385</v>
      </c>
      <c r="F35" s="1" t="s">
        <v>1390</v>
      </c>
      <c r="G35" s="34">
        <v>2521.4</v>
      </c>
      <c r="H35" s="34">
        <v>25.21</v>
      </c>
      <c r="I35" s="1" t="s">
        <v>747</v>
      </c>
    </row>
    <row r="36" spans="1:9" x14ac:dyDescent="0.25">
      <c r="A36" t="s">
        <v>1145</v>
      </c>
      <c r="B36" s="1" t="s">
        <v>247</v>
      </c>
      <c r="C36" s="1" t="s">
        <v>1391</v>
      </c>
      <c r="D36" s="1" t="s">
        <v>1059</v>
      </c>
      <c r="E36" s="1" t="s">
        <v>1062</v>
      </c>
      <c r="F36" s="1" t="s">
        <v>1392</v>
      </c>
      <c r="G36" s="34">
        <v>750</v>
      </c>
      <c r="H36" s="34">
        <v>7.5</v>
      </c>
      <c r="I36" s="1" t="s">
        <v>747</v>
      </c>
    </row>
    <row r="37" spans="1:9" x14ac:dyDescent="0.25">
      <c r="A37" t="s">
        <v>1145</v>
      </c>
      <c r="B37" s="1" t="s">
        <v>304</v>
      </c>
      <c r="C37" s="1" t="s">
        <v>1393</v>
      </c>
      <c r="D37" s="1" t="s">
        <v>1059</v>
      </c>
      <c r="E37" s="1" t="s">
        <v>1062</v>
      </c>
      <c r="F37" s="1" t="s">
        <v>1394</v>
      </c>
      <c r="G37" s="34">
        <v>165.92</v>
      </c>
      <c r="H37" s="34">
        <v>1.66</v>
      </c>
      <c r="I37" s="1" t="s">
        <v>747</v>
      </c>
    </row>
    <row r="38" spans="1:9" x14ac:dyDescent="0.25">
      <c r="A38" t="s">
        <v>1145</v>
      </c>
      <c r="B38" s="1" t="s">
        <v>1395</v>
      </c>
      <c r="C38" s="1" t="s">
        <v>1396</v>
      </c>
      <c r="D38" s="1" t="s">
        <v>1059</v>
      </c>
      <c r="E38" s="1" t="s">
        <v>1062</v>
      </c>
      <c r="F38" s="1" t="s">
        <v>1397</v>
      </c>
      <c r="G38" s="34">
        <v>148.04</v>
      </c>
      <c r="H38" s="34">
        <v>1.48</v>
      </c>
      <c r="I38" s="1" t="s">
        <v>747</v>
      </c>
    </row>
    <row r="39" spans="1:9" x14ac:dyDescent="0.25">
      <c r="A39" t="s">
        <v>1145</v>
      </c>
      <c r="B39" s="1" t="s">
        <v>237</v>
      </c>
      <c r="C39" s="1" t="s">
        <v>1398</v>
      </c>
      <c r="D39" s="1" t="s">
        <v>1059</v>
      </c>
      <c r="E39" s="1" t="s">
        <v>1062</v>
      </c>
      <c r="F39" s="1" t="s">
        <v>1399</v>
      </c>
      <c r="G39" s="34">
        <v>377.6</v>
      </c>
      <c r="H39" s="34">
        <v>3.78</v>
      </c>
      <c r="I39" s="1" t="s">
        <v>747</v>
      </c>
    </row>
    <row r="40" spans="1:9" x14ac:dyDescent="0.25">
      <c r="A40" t="s">
        <v>1145</v>
      </c>
      <c r="B40" s="1" t="s">
        <v>217</v>
      </c>
      <c r="C40" s="1" t="s">
        <v>1389</v>
      </c>
      <c r="D40" s="1" t="s">
        <v>1059</v>
      </c>
      <c r="E40" s="1" t="s">
        <v>1058</v>
      </c>
      <c r="F40" s="1" t="s">
        <v>1400</v>
      </c>
      <c r="G40" s="34">
        <v>4578.32</v>
      </c>
      <c r="H40" s="34">
        <v>45.78</v>
      </c>
      <c r="I40" s="1" t="s">
        <v>747</v>
      </c>
    </row>
    <row r="1999" spans="1:9" x14ac:dyDescent="0.25">
      <c r="A1999" s="64" t="s">
        <v>1056</v>
      </c>
      <c r="B1999" s="63"/>
      <c r="C1999" s="63"/>
      <c r="D1999" s="63"/>
      <c r="E1999" s="63"/>
      <c r="F1999" s="63"/>
      <c r="G1999" s="35">
        <f>SUBTOTAL(9,G2:G1998)</f>
        <v>15469.480000000001</v>
      </c>
      <c r="H1999" s="35">
        <f>SUBTOTAL(9,H2:H1998)</f>
        <v>154.69999999999999</v>
      </c>
      <c r="I1999" s="63"/>
    </row>
  </sheetData>
  <autoFilter ref="A1:I40">
    <filterColumn colId="0">
      <filters>
        <filter val="JULIO"/>
      </filters>
    </filterColumn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 filterMode="1">
    <tabColor rgb="FFFF0000"/>
  </sheetPr>
  <dimension ref="A1:S2998"/>
  <sheetViews>
    <sheetView workbookViewId="0">
      <selection activeCell="A19" sqref="A19"/>
    </sheetView>
  </sheetViews>
  <sheetFormatPr baseColWidth="10" defaultRowHeight="15" x14ac:dyDescent="0.25"/>
  <cols>
    <col min="2" max="3" width="11.42578125" style="1"/>
    <col min="4" max="4" width="32.28515625" style="1" bestFit="1" customWidth="1"/>
    <col min="5" max="5" width="15" style="1" bestFit="1" customWidth="1"/>
    <col min="6" max="6" width="11.42578125" style="1"/>
    <col min="7" max="7" width="11.42578125" style="34"/>
    <col min="8" max="8" width="11.42578125" style="1"/>
    <col min="9" max="9" width="11.42578125" style="34"/>
    <col min="10" max="19" width="11.42578125" style="1"/>
  </cols>
  <sheetData>
    <row r="1" spans="1:19" x14ac:dyDescent="0.25">
      <c r="A1" t="s">
        <v>22</v>
      </c>
      <c r="B1" s="1" t="s">
        <v>1112</v>
      </c>
      <c r="C1" s="1" t="s">
        <v>1111</v>
      </c>
      <c r="D1" s="1" t="s">
        <v>1110</v>
      </c>
      <c r="E1" s="1" t="s">
        <v>455</v>
      </c>
      <c r="F1" s="1" t="s">
        <v>1109</v>
      </c>
      <c r="G1" s="34" t="s">
        <v>1108</v>
      </c>
      <c r="H1" s="1" t="s">
        <v>1107</v>
      </c>
      <c r="I1" s="34" t="s">
        <v>1106</v>
      </c>
      <c r="J1" s="1" t="s">
        <v>1105</v>
      </c>
      <c r="K1" s="1" t="s">
        <v>1104</v>
      </c>
      <c r="L1" s="1" t="s">
        <v>1103</v>
      </c>
      <c r="M1" s="1" t="s">
        <v>1102</v>
      </c>
      <c r="N1" s="1" t="s">
        <v>1101</v>
      </c>
      <c r="O1" s="1" t="s">
        <v>1100</v>
      </c>
      <c r="P1" s="1" t="s">
        <v>1099</v>
      </c>
      <c r="Q1" s="1" t="s">
        <v>1098</v>
      </c>
      <c r="R1" s="1" t="s">
        <v>1097</v>
      </c>
      <c r="S1" s="1" t="s">
        <v>1096</v>
      </c>
    </row>
    <row r="2" spans="1:19" hidden="1" x14ac:dyDescent="0.25">
      <c r="A2" t="s">
        <v>651</v>
      </c>
      <c r="B2" s="1" t="s">
        <v>1</v>
      </c>
      <c r="C2" s="1" t="s">
        <v>1090</v>
      </c>
      <c r="D2" s="1" t="s">
        <v>1089</v>
      </c>
      <c r="E2" s="1" t="s">
        <v>1088</v>
      </c>
      <c r="F2" s="1" t="s">
        <v>40</v>
      </c>
      <c r="G2" s="18">
        <v>2183.33</v>
      </c>
      <c r="H2" s="1" t="s">
        <v>212</v>
      </c>
      <c r="I2" s="34">
        <v>218.33</v>
      </c>
      <c r="J2" s="1" t="s">
        <v>212</v>
      </c>
      <c r="K2" s="1" t="s">
        <v>212</v>
      </c>
      <c r="L2" s="1" t="s">
        <v>212</v>
      </c>
      <c r="M2" s="1" t="s">
        <v>212</v>
      </c>
      <c r="N2" s="1" t="s">
        <v>212</v>
      </c>
      <c r="O2" s="1" t="s">
        <v>212</v>
      </c>
      <c r="P2" s="1" t="s">
        <v>212</v>
      </c>
      <c r="Q2" s="1" t="s">
        <v>212</v>
      </c>
      <c r="R2" s="1" t="s">
        <v>212</v>
      </c>
      <c r="S2" s="1" t="s">
        <v>1086</v>
      </c>
    </row>
    <row r="3" spans="1:19" hidden="1" x14ac:dyDescent="0.25">
      <c r="A3" t="s">
        <v>651</v>
      </c>
      <c r="B3" s="1" t="s">
        <v>1</v>
      </c>
      <c r="C3" s="1" t="s">
        <v>1090</v>
      </c>
      <c r="D3" s="1" t="s">
        <v>1095</v>
      </c>
      <c r="E3" s="1" t="s">
        <v>1094</v>
      </c>
      <c r="F3" s="1" t="s">
        <v>40</v>
      </c>
      <c r="G3" s="18">
        <v>158.88999999999999</v>
      </c>
      <c r="H3" s="1" t="s">
        <v>212</v>
      </c>
      <c r="I3" s="34">
        <v>15.89</v>
      </c>
      <c r="J3" s="1" t="s">
        <v>212</v>
      </c>
      <c r="K3" s="1" t="s">
        <v>212</v>
      </c>
      <c r="L3" s="1" t="s">
        <v>212</v>
      </c>
      <c r="M3" s="1" t="s">
        <v>212</v>
      </c>
      <c r="N3" s="1" t="s">
        <v>212</v>
      </c>
      <c r="O3" s="1" t="s">
        <v>212</v>
      </c>
      <c r="P3" s="1" t="s">
        <v>212</v>
      </c>
      <c r="Q3" s="1" t="s">
        <v>212</v>
      </c>
      <c r="R3" s="1" t="s">
        <v>212</v>
      </c>
      <c r="S3" s="1" t="s">
        <v>1086</v>
      </c>
    </row>
    <row r="4" spans="1:19" hidden="1" x14ac:dyDescent="0.25">
      <c r="A4" t="s">
        <v>651</v>
      </c>
      <c r="B4" s="1" t="s">
        <v>1</v>
      </c>
      <c r="C4" s="1" t="s">
        <v>1090</v>
      </c>
      <c r="D4" s="1" t="s">
        <v>1093</v>
      </c>
      <c r="E4" s="1" t="s">
        <v>931</v>
      </c>
      <c r="F4" s="1" t="s">
        <v>40</v>
      </c>
      <c r="G4" s="18">
        <v>210</v>
      </c>
      <c r="H4" s="1" t="s">
        <v>212</v>
      </c>
      <c r="I4" s="34">
        <v>21</v>
      </c>
      <c r="J4" s="1" t="s">
        <v>212</v>
      </c>
      <c r="K4" s="1" t="s">
        <v>212</v>
      </c>
      <c r="L4" s="1" t="s">
        <v>212</v>
      </c>
      <c r="M4" s="1" t="s">
        <v>212</v>
      </c>
      <c r="N4" s="1" t="s">
        <v>212</v>
      </c>
      <c r="O4" s="1" t="s">
        <v>212</v>
      </c>
      <c r="P4" s="1" t="s">
        <v>212</v>
      </c>
      <c r="Q4" s="1" t="s">
        <v>212</v>
      </c>
      <c r="R4" s="1" t="s">
        <v>212</v>
      </c>
      <c r="S4" s="1" t="s">
        <v>1086</v>
      </c>
    </row>
    <row r="5" spans="1:19" hidden="1" x14ac:dyDescent="0.25">
      <c r="A5" t="s">
        <v>651</v>
      </c>
      <c r="B5" s="1" t="s">
        <v>1</v>
      </c>
      <c r="C5" s="1" t="s">
        <v>1090</v>
      </c>
      <c r="D5" s="1" t="s">
        <v>1092</v>
      </c>
      <c r="E5" s="1" t="s">
        <v>1091</v>
      </c>
      <c r="F5" s="1" t="s">
        <v>40</v>
      </c>
      <c r="G5" s="18">
        <v>288.88</v>
      </c>
      <c r="H5" s="1" t="s">
        <v>212</v>
      </c>
      <c r="I5" s="34">
        <v>28.89</v>
      </c>
      <c r="J5" s="1" t="s">
        <v>212</v>
      </c>
      <c r="K5" s="1" t="s">
        <v>212</v>
      </c>
      <c r="L5" s="1" t="s">
        <v>212</v>
      </c>
      <c r="M5" s="1" t="s">
        <v>212</v>
      </c>
      <c r="N5" s="1" t="s">
        <v>212</v>
      </c>
      <c r="O5" s="1" t="s">
        <v>212</v>
      </c>
      <c r="P5" s="1" t="s">
        <v>212</v>
      </c>
      <c r="Q5" s="1" t="s">
        <v>212</v>
      </c>
      <c r="R5" s="1" t="s">
        <v>212</v>
      </c>
      <c r="S5" s="1" t="s">
        <v>1086</v>
      </c>
    </row>
    <row r="6" spans="1:19" hidden="1" x14ac:dyDescent="0.25">
      <c r="A6" t="s">
        <v>651</v>
      </c>
      <c r="B6" s="1" t="s">
        <v>1</v>
      </c>
      <c r="C6" s="1" t="s">
        <v>1090</v>
      </c>
      <c r="D6" s="1" t="s">
        <v>1089</v>
      </c>
      <c r="E6" s="1" t="s">
        <v>1088</v>
      </c>
      <c r="F6" s="1" t="s">
        <v>61</v>
      </c>
      <c r="G6" s="18">
        <v>600</v>
      </c>
      <c r="H6" s="1" t="s">
        <v>212</v>
      </c>
      <c r="I6" s="34">
        <v>24.32</v>
      </c>
      <c r="J6" s="1" t="s">
        <v>212</v>
      </c>
      <c r="K6" s="1" t="s">
        <v>212</v>
      </c>
      <c r="L6" s="1" t="s">
        <v>1087</v>
      </c>
      <c r="M6" s="1" t="s">
        <v>93</v>
      </c>
      <c r="N6" s="1" t="s">
        <v>212</v>
      </c>
      <c r="O6" s="1" t="s">
        <v>212</v>
      </c>
      <c r="P6" s="1" t="s">
        <v>212</v>
      </c>
      <c r="Q6" s="1" t="s">
        <v>212</v>
      </c>
      <c r="R6" s="1" t="s">
        <v>212</v>
      </c>
      <c r="S6" s="1" t="s">
        <v>1086</v>
      </c>
    </row>
    <row r="7" spans="1:19" hidden="1" x14ac:dyDescent="0.25">
      <c r="A7" t="s">
        <v>843</v>
      </c>
      <c r="B7" s="1" t="s">
        <v>1</v>
      </c>
      <c r="C7" s="1" t="s">
        <v>1090</v>
      </c>
      <c r="D7" s="1" t="s">
        <v>1089</v>
      </c>
      <c r="E7" s="1" t="s">
        <v>1088</v>
      </c>
      <c r="F7" s="1" t="s">
        <v>40</v>
      </c>
      <c r="G7" s="34">
        <v>322.20999999999998</v>
      </c>
      <c r="H7" s="1" t="s">
        <v>212</v>
      </c>
      <c r="I7" s="34">
        <v>32.22</v>
      </c>
      <c r="J7" s="1" t="s">
        <v>212</v>
      </c>
      <c r="K7" s="1" t="s">
        <v>212</v>
      </c>
      <c r="L7" s="1" t="s">
        <v>212</v>
      </c>
      <c r="M7" s="1" t="s">
        <v>212</v>
      </c>
      <c r="N7" s="1" t="s">
        <v>212</v>
      </c>
      <c r="O7" s="1" t="s">
        <v>212</v>
      </c>
      <c r="P7" s="1" t="s">
        <v>212</v>
      </c>
      <c r="Q7" s="1" t="s">
        <v>212</v>
      </c>
      <c r="R7" s="1" t="s">
        <v>212</v>
      </c>
      <c r="S7" s="1" t="s">
        <v>1115</v>
      </c>
    </row>
    <row r="8" spans="1:19" hidden="1" x14ac:dyDescent="0.25">
      <c r="A8" t="s">
        <v>843</v>
      </c>
      <c r="B8" s="1" t="s">
        <v>1</v>
      </c>
      <c r="C8" s="1" t="s">
        <v>1090</v>
      </c>
      <c r="D8" s="1" t="s">
        <v>1095</v>
      </c>
      <c r="E8" s="1" t="s">
        <v>1094</v>
      </c>
      <c r="F8" s="1" t="s">
        <v>40</v>
      </c>
      <c r="G8" s="34">
        <v>158.88999999999999</v>
      </c>
      <c r="H8" s="1" t="s">
        <v>212</v>
      </c>
      <c r="I8" s="34">
        <v>15.888999999999999</v>
      </c>
      <c r="J8" s="1" t="s">
        <v>212</v>
      </c>
      <c r="K8" s="1" t="s">
        <v>212</v>
      </c>
      <c r="L8" s="1" t="s">
        <v>212</v>
      </c>
      <c r="M8" s="1" t="s">
        <v>212</v>
      </c>
      <c r="N8" s="1" t="s">
        <v>212</v>
      </c>
      <c r="O8" s="1" t="s">
        <v>212</v>
      </c>
      <c r="P8" s="1" t="s">
        <v>212</v>
      </c>
      <c r="Q8" s="1" t="s">
        <v>212</v>
      </c>
      <c r="R8" s="1" t="s">
        <v>212</v>
      </c>
      <c r="S8" s="1" t="s">
        <v>1115</v>
      </c>
    </row>
    <row r="9" spans="1:19" hidden="1" x14ac:dyDescent="0.25">
      <c r="A9" t="s">
        <v>843</v>
      </c>
      <c r="B9" s="1" t="s">
        <v>1</v>
      </c>
      <c r="C9" s="1" t="s">
        <v>1090</v>
      </c>
      <c r="D9" s="1" t="s">
        <v>1093</v>
      </c>
      <c r="E9" s="1" t="s">
        <v>931</v>
      </c>
      <c r="F9" s="1" t="s">
        <v>40</v>
      </c>
      <c r="G9" s="34">
        <v>260</v>
      </c>
      <c r="H9" s="1" t="s">
        <v>212</v>
      </c>
      <c r="I9" s="34">
        <v>26</v>
      </c>
      <c r="J9" s="1" t="s">
        <v>212</v>
      </c>
      <c r="K9" s="1" t="s">
        <v>212</v>
      </c>
      <c r="L9" s="1" t="s">
        <v>212</v>
      </c>
      <c r="M9" s="1" t="s">
        <v>212</v>
      </c>
      <c r="N9" s="1" t="s">
        <v>212</v>
      </c>
      <c r="O9" s="1" t="s">
        <v>212</v>
      </c>
      <c r="P9" s="1" t="s">
        <v>212</v>
      </c>
      <c r="Q9" s="1" t="s">
        <v>212</v>
      </c>
      <c r="R9" s="1" t="s">
        <v>212</v>
      </c>
      <c r="S9" s="1" t="s">
        <v>1115</v>
      </c>
    </row>
    <row r="10" spans="1:19" hidden="1" x14ac:dyDescent="0.25">
      <c r="A10" t="s">
        <v>843</v>
      </c>
      <c r="B10" s="1" t="s">
        <v>1</v>
      </c>
      <c r="C10" s="1" t="s">
        <v>1090</v>
      </c>
      <c r="D10" s="1" t="s">
        <v>1092</v>
      </c>
      <c r="E10" s="1" t="s">
        <v>1091</v>
      </c>
      <c r="F10" s="1" t="s">
        <v>40</v>
      </c>
      <c r="G10" s="34">
        <v>288.88</v>
      </c>
      <c r="H10" s="1" t="s">
        <v>212</v>
      </c>
      <c r="I10" s="34">
        <v>28.888000000000002</v>
      </c>
      <c r="J10" s="1" t="s">
        <v>212</v>
      </c>
      <c r="K10" s="1" t="s">
        <v>212</v>
      </c>
      <c r="L10" s="1" t="s">
        <v>212</v>
      </c>
      <c r="M10" s="1" t="s">
        <v>212</v>
      </c>
      <c r="N10" s="1" t="s">
        <v>212</v>
      </c>
      <c r="O10" s="1" t="s">
        <v>212</v>
      </c>
      <c r="P10" s="1" t="s">
        <v>212</v>
      </c>
      <c r="Q10" s="1" t="s">
        <v>212</v>
      </c>
      <c r="R10" s="1" t="s">
        <v>212</v>
      </c>
      <c r="S10" s="1" t="s">
        <v>1115</v>
      </c>
    </row>
    <row r="11" spans="1:19" hidden="1" x14ac:dyDescent="0.25">
      <c r="A11" t="s">
        <v>843</v>
      </c>
      <c r="B11" s="1" t="s">
        <v>1</v>
      </c>
      <c r="C11" s="1" t="s">
        <v>1090</v>
      </c>
      <c r="D11" s="1" t="s">
        <v>1089</v>
      </c>
      <c r="E11" s="1" t="s">
        <v>1088</v>
      </c>
      <c r="F11" s="1" t="s">
        <v>61</v>
      </c>
      <c r="G11" s="34">
        <v>1800</v>
      </c>
      <c r="H11" s="1" t="s">
        <v>212</v>
      </c>
      <c r="I11" s="34">
        <v>208.86</v>
      </c>
      <c r="J11" s="1" t="s">
        <v>212</v>
      </c>
      <c r="K11" s="1" t="s">
        <v>212</v>
      </c>
      <c r="L11" s="1" t="s">
        <v>1402</v>
      </c>
      <c r="M11" s="1" t="s">
        <v>64</v>
      </c>
      <c r="N11" s="1" t="s">
        <v>212</v>
      </c>
      <c r="O11" s="1" t="s">
        <v>212</v>
      </c>
      <c r="P11" s="1" t="s">
        <v>212</v>
      </c>
      <c r="Q11" s="1" t="s">
        <v>212</v>
      </c>
      <c r="R11" s="1" t="s">
        <v>212</v>
      </c>
      <c r="S11" s="1" t="s">
        <v>1115</v>
      </c>
    </row>
    <row r="12" spans="1:19" x14ac:dyDescent="0.25">
      <c r="A12" t="s">
        <v>1145</v>
      </c>
      <c r="B12" s="1" t="s">
        <v>1</v>
      </c>
      <c r="C12" s="1" t="s">
        <v>1090</v>
      </c>
      <c r="D12" s="1" t="s">
        <v>1089</v>
      </c>
      <c r="E12" s="1" t="s">
        <v>1088</v>
      </c>
      <c r="F12" s="1" t="s">
        <v>40</v>
      </c>
      <c r="G12" s="34">
        <v>3683.3</v>
      </c>
      <c r="H12" s="1" t="s">
        <v>212</v>
      </c>
      <c r="I12" s="77">
        <v>368.33000000000004</v>
      </c>
      <c r="J12" s="1" t="s">
        <v>212</v>
      </c>
      <c r="K12" s="1" t="s">
        <v>212</v>
      </c>
      <c r="L12" s="1" t="s">
        <v>212</v>
      </c>
      <c r="M12" s="1" t="s">
        <v>212</v>
      </c>
      <c r="N12" s="1" t="s">
        <v>212</v>
      </c>
      <c r="O12" s="1" t="s">
        <v>212</v>
      </c>
      <c r="P12" s="1" t="s">
        <v>212</v>
      </c>
      <c r="Q12" s="1" t="s">
        <v>212</v>
      </c>
      <c r="R12" s="1" t="s">
        <v>212</v>
      </c>
      <c r="S12" s="1" t="s">
        <v>1403</v>
      </c>
    </row>
    <row r="13" spans="1:19" x14ac:dyDescent="0.25">
      <c r="A13" t="s">
        <v>1145</v>
      </c>
      <c r="B13" s="1" t="s">
        <v>1</v>
      </c>
      <c r="C13" s="1" t="s">
        <v>1090</v>
      </c>
      <c r="D13" s="1" t="s">
        <v>1095</v>
      </c>
      <c r="E13" s="1" t="s">
        <v>1094</v>
      </c>
      <c r="F13" s="1" t="s">
        <v>40</v>
      </c>
      <c r="G13" s="34">
        <v>158.88999999999999</v>
      </c>
      <c r="H13" s="1" t="s">
        <v>212</v>
      </c>
      <c r="I13" s="18">
        <v>15.89</v>
      </c>
      <c r="J13" s="1" t="s">
        <v>212</v>
      </c>
      <c r="K13" s="1" t="s">
        <v>212</v>
      </c>
      <c r="L13" s="1" t="s">
        <v>212</v>
      </c>
      <c r="M13" s="1" t="s">
        <v>212</v>
      </c>
      <c r="N13" s="1" t="s">
        <v>212</v>
      </c>
      <c r="O13" s="1" t="s">
        <v>212</v>
      </c>
      <c r="P13" s="1" t="s">
        <v>212</v>
      </c>
      <c r="Q13" s="1" t="s">
        <v>212</v>
      </c>
      <c r="R13" s="1" t="s">
        <v>212</v>
      </c>
      <c r="S13" s="1" t="s">
        <v>1403</v>
      </c>
    </row>
    <row r="14" spans="1:19" x14ac:dyDescent="0.25">
      <c r="A14" t="s">
        <v>1145</v>
      </c>
      <c r="B14" s="1" t="s">
        <v>1</v>
      </c>
      <c r="C14" s="1" t="s">
        <v>1090</v>
      </c>
      <c r="D14" s="1" t="s">
        <v>1093</v>
      </c>
      <c r="E14" s="1" t="s">
        <v>931</v>
      </c>
      <c r="F14" s="1" t="s">
        <v>40</v>
      </c>
      <c r="G14" s="34">
        <v>210</v>
      </c>
      <c r="H14" s="1" t="s">
        <v>212</v>
      </c>
      <c r="I14" s="18">
        <v>21</v>
      </c>
      <c r="J14" s="1" t="s">
        <v>212</v>
      </c>
      <c r="K14" s="1" t="s">
        <v>212</v>
      </c>
      <c r="L14" s="1" t="s">
        <v>212</v>
      </c>
      <c r="M14" s="1" t="s">
        <v>212</v>
      </c>
      <c r="N14" s="1" t="s">
        <v>212</v>
      </c>
      <c r="O14" s="1" t="s">
        <v>212</v>
      </c>
      <c r="P14" s="1" t="s">
        <v>212</v>
      </c>
      <c r="Q14" s="1" t="s">
        <v>212</v>
      </c>
      <c r="R14" s="1" t="s">
        <v>212</v>
      </c>
      <c r="S14" s="1" t="s">
        <v>1403</v>
      </c>
    </row>
    <row r="15" spans="1:19" x14ac:dyDescent="0.25">
      <c r="A15" t="s">
        <v>1145</v>
      </c>
      <c r="B15" s="1" t="s">
        <v>1</v>
      </c>
      <c r="C15" s="1" t="s">
        <v>1090</v>
      </c>
      <c r="D15" s="1" t="s">
        <v>1092</v>
      </c>
      <c r="E15" s="1" t="s">
        <v>1091</v>
      </c>
      <c r="F15" s="1" t="s">
        <v>40</v>
      </c>
      <c r="G15" s="34">
        <v>288.88</v>
      </c>
      <c r="H15" s="1" t="s">
        <v>212</v>
      </c>
      <c r="I15" s="18">
        <v>28.89</v>
      </c>
      <c r="J15" s="1" t="s">
        <v>212</v>
      </c>
      <c r="K15" s="1" t="s">
        <v>212</v>
      </c>
      <c r="L15" s="1" t="s">
        <v>212</v>
      </c>
      <c r="M15" s="1" t="s">
        <v>212</v>
      </c>
      <c r="N15" s="1" t="s">
        <v>212</v>
      </c>
      <c r="O15" s="1" t="s">
        <v>212</v>
      </c>
      <c r="P15" s="1" t="s">
        <v>212</v>
      </c>
      <c r="Q15" s="1" t="s">
        <v>212</v>
      </c>
      <c r="R15" s="1" t="s">
        <v>212</v>
      </c>
      <c r="S15" s="1" t="s">
        <v>1403</v>
      </c>
    </row>
    <row r="16" spans="1:19" x14ac:dyDescent="0.25">
      <c r="A16" t="s">
        <v>1145</v>
      </c>
      <c r="B16" s="1" t="s">
        <v>1</v>
      </c>
      <c r="C16" s="1" t="s">
        <v>1090</v>
      </c>
      <c r="D16" s="1" t="s">
        <v>1089</v>
      </c>
      <c r="E16" s="1" t="s">
        <v>1088</v>
      </c>
      <c r="F16" s="1" t="s">
        <v>61</v>
      </c>
      <c r="G16" s="34">
        <v>1800</v>
      </c>
      <c r="H16" s="1" t="s">
        <v>212</v>
      </c>
      <c r="I16" s="34">
        <v>208.86</v>
      </c>
      <c r="J16" s="1" t="s">
        <v>212</v>
      </c>
      <c r="K16" s="1" t="s">
        <v>212</v>
      </c>
      <c r="L16" s="1" t="s">
        <v>1402</v>
      </c>
      <c r="M16" s="1" t="s">
        <v>64</v>
      </c>
      <c r="N16" s="1" t="s">
        <v>212</v>
      </c>
      <c r="O16" s="1" t="s">
        <v>212</v>
      </c>
      <c r="P16" s="1" t="s">
        <v>212</v>
      </c>
      <c r="Q16" s="1" t="s">
        <v>212</v>
      </c>
      <c r="R16" s="1" t="s">
        <v>212</v>
      </c>
      <c r="S16" s="1" t="s">
        <v>1403</v>
      </c>
    </row>
    <row r="17" spans="1:19" x14ac:dyDescent="0.25">
      <c r="A17" t="s">
        <v>1145</v>
      </c>
      <c r="B17" s="1" t="s">
        <v>1</v>
      </c>
      <c r="C17" s="1" t="s">
        <v>1090</v>
      </c>
      <c r="D17" s="1" t="s">
        <v>1089</v>
      </c>
      <c r="E17" s="1" t="s">
        <v>1088</v>
      </c>
      <c r="F17" s="1" t="s">
        <v>1404</v>
      </c>
      <c r="G17" s="34">
        <v>368.42</v>
      </c>
      <c r="H17" s="1" t="s">
        <v>212</v>
      </c>
      <c r="I17" s="18">
        <v>18.420000000000002</v>
      </c>
      <c r="J17" s="1" t="s">
        <v>212</v>
      </c>
      <c r="K17" s="1" t="s">
        <v>212</v>
      </c>
      <c r="L17" s="1" t="s">
        <v>212</v>
      </c>
      <c r="M17" s="1" t="s">
        <v>212</v>
      </c>
      <c r="N17" s="1" t="s">
        <v>212</v>
      </c>
      <c r="O17" s="1" t="s">
        <v>212</v>
      </c>
      <c r="P17" s="1" t="s">
        <v>212</v>
      </c>
      <c r="Q17" s="1" t="s">
        <v>212</v>
      </c>
      <c r="R17" s="1" t="s">
        <v>212</v>
      </c>
      <c r="S17" s="1" t="s">
        <v>1403</v>
      </c>
    </row>
    <row r="18" spans="1:19" x14ac:dyDescent="0.25">
      <c r="A18" t="s">
        <v>1145</v>
      </c>
      <c r="B18" s="1" t="s">
        <v>1</v>
      </c>
      <c r="C18" s="1" t="s">
        <v>1090</v>
      </c>
      <c r="D18" s="1" t="s">
        <v>1095</v>
      </c>
      <c r="E18" s="1" t="s">
        <v>1094</v>
      </c>
      <c r="F18" s="1" t="s">
        <v>1404</v>
      </c>
      <c r="G18" s="34">
        <v>368.42</v>
      </c>
      <c r="H18" s="1" t="s">
        <v>212</v>
      </c>
      <c r="I18" s="18">
        <v>18.420000000000002</v>
      </c>
      <c r="J18" s="1" t="s">
        <v>212</v>
      </c>
      <c r="K18" s="1" t="s">
        <v>212</v>
      </c>
      <c r="L18" s="1" t="s">
        <v>212</v>
      </c>
      <c r="M18" s="1" t="s">
        <v>212</v>
      </c>
      <c r="N18" s="1" t="s">
        <v>212</v>
      </c>
      <c r="O18" s="1" t="s">
        <v>212</v>
      </c>
      <c r="P18" s="1" t="s">
        <v>212</v>
      </c>
      <c r="Q18" s="1" t="s">
        <v>212</v>
      </c>
      <c r="R18" s="1" t="s">
        <v>212</v>
      </c>
      <c r="S18" s="1" t="s">
        <v>1403</v>
      </c>
    </row>
    <row r="19" spans="1:19" x14ac:dyDescent="0.25">
      <c r="A19" t="s">
        <v>1145</v>
      </c>
      <c r="B19" s="1" t="s">
        <v>1</v>
      </c>
      <c r="C19" s="1" t="s">
        <v>1090</v>
      </c>
      <c r="D19" s="1" t="s">
        <v>1092</v>
      </c>
      <c r="E19" s="1" t="s">
        <v>1091</v>
      </c>
      <c r="F19" s="1" t="s">
        <v>1404</v>
      </c>
      <c r="G19" s="34">
        <v>368.42</v>
      </c>
      <c r="H19" s="1" t="s">
        <v>212</v>
      </c>
      <c r="I19" s="18">
        <v>18.420000000000002</v>
      </c>
      <c r="J19" s="1" t="s">
        <v>212</v>
      </c>
      <c r="K19" s="1" t="s">
        <v>212</v>
      </c>
      <c r="L19" s="1" t="s">
        <v>212</v>
      </c>
      <c r="M19" s="1" t="s">
        <v>212</v>
      </c>
      <c r="N19" s="1" t="s">
        <v>212</v>
      </c>
      <c r="O19" s="1" t="s">
        <v>212</v>
      </c>
      <c r="P19" s="1" t="s">
        <v>212</v>
      </c>
      <c r="Q19" s="1" t="s">
        <v>212</v>
      </c>
      <c r="R19" s="1" t="s">
        <v>212</v>
      </c>
      <c r="S19" s="1" t="s">
        <v>1403</v>
      </c>
    </row>
    <row r="2998" spans="1:9" x14ac:dyDescent="0.25">
      <c r="A2998" s="64" t="s">
        <v>1056</v>
      </c>
      <c r="B2998" s="63"/>
      <c r="C2998" s="63"/>
      <c r="D2998" s="63"/>
      <c r="E2998" s="63"/>
      <c r="F2998" s="63"/>
      <c r="G2998" s="35">
        <f>SUBTOTAL(9,G1:G2997)</f>
        <v>7246.33</v>
      </c>
      <c r="H2998" s="63"/>
      <c r="I2998" s="35">
        <f>SUBTOTAL(9,I1:I2997)</f>
        <v>698.2299999999999</v>
      </c>
    </row>
  </sheetData>
  <autoFilter ref="A1:S19">
    <filterColumn colId="0">
      <filters>
        <filter val="JULIO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7030A0"/>
  </sheetPr>
  <dimension ref="A1:O20"/>
  <sheetViews>
    <sheetView workbookViewId="0">
      <selection activeCell="N15" sqref="N15"/>
    </sheetView>
  </sheetViews>
  <sheetFormatPr baseColWidth="10" defaultRowHeight="15" x14ac:dyDescent="0.25"/>
  <cols>
    <col min="1" max="1" width="11.85546875" bestFit="1" customWidth="1"/>
  </cols>
  <sheetData>
    <row r="1" spans="1:15" ht="15.75" thickBot="1" x14ac:dyDescent="0.3"/>
    <row r="2" spans="1:15" x14ac:dyDescent="0.25">
      <c r="A2" s="79" t="s">
        <v>1043</v>
      </c>
      <c r="B2" s="80"/>
      <c r="C2" s="80"/>
      <c r="D2" s="81"/>
      <c r="E2" s="88"/>
      <c r="F2" s="89"/>
      <c r="G2" s="94" t="s">
        <v>1044</v>
      </c>
      <c r="H2" s="94" t="s">
        <v>1045</v>
      </c>
      <c r="I2" s="94" t="s">
        <v>1046</v>
      </c>
      <c r="J2" s="94" t="s">
        <v>1047</v>
      </c>
      <c r="K2" s="94" t="s">
        <v>1056</v>
      </c>
      <c r="L2" s="90" t="s">
        <v>1113</v>
      </c>
      <c r="M2" s="91"/>
    </row>
    <row r="3" spans="1:15" ht="15.75" thickBot="1" x14ac:dyDescent="0.3">
      <c r="A3" s="82"/>
      <c r="B3" s="83"/>
      <c r="C3" s="83"/>
      <c r="D3" s="84"/>
      <c r="E3" s="40"/>
      <c r="F3" s="40"/>
      <c r="G3" s="95"/>
      <c r="H3" s="95"/>
      <c r="I3" s="95"/>
      <c r="J3" s="95"/>
      <c r="K3" s="95"/>
      <c r="L3" s="92"/>
      <c r="M3" s="93"/>
    </row>
    <row r="4" spans="1:15" x14ac:dyDescent="0.25">
      <c r="A4" s="82"/>
      <c r="B4" s="83"/>
      <c r="C4" s="83"/>
      <c r="D4" s="84"/>
      <c r="E4" s="40"/>
      <c r="F4" s="40"/>
      <c r="G4" s="41">
        <f>+'CONSUMIDOR 2021'!L1000</f>
        <v>385</v>
      </c>
      <c r="H4" s="41">
        <f>+'VENTAS CONTRIBUYENTE 2021'!R5000</f>
        <v>123018.27999999996</v>
      </c>
      <c r="I4" s="41">
        <f>+'CONSUMIDOR 2021'!O1000</f>
        <v>656.7</v>
      </c>
      <c r="J4" s="41">
        <f>+'CONSUMIDOR 2021'!R1000</f>
        <v>0</v>
      </c>
      <c r="K4" s="42"/>
      <c r="L4" s="43"/>
      <c r="M4" s="44"/>
    </row>
    <row r="5" spans="1:15" x14ac:dyDescent="0.25">
      <c r="A5" s="82"/>
      <c r="B5" s="83"/>
      <c r="C5" s="83"/>
      <c r="D5" s="84"/>
      <c r="E5" s="40"/>
      <c r="F5" s="40"/>
      <c r="G5" s="41"/>
      <c r="H5" s="41"/>
      <c r="I5" s="45">
        <f>+I4/1.13</f>
        <v>581.15044247787625</v>
      </c>
      <c r="J5" s="41"/>
      <c r="K5" s="42"/>
      <c r="L5" s="43"/>
      <c r="M5" s="44"/>
    </row>
    <row r="6" spans="1:15" x14ac:dyDescent="0.25">
      <c r="A6" s="82"/>
      <c r="B6" s="83"/>
      <c r="C6" s="83"/>
      <c r="D6" s="84"/>
      <c r="E6" s="40"/>
      <c r="F6" s="40"/>
      <c r="G6" s="41"/>
      <c r="H6" s="41"/>
      <c r="I6" s="41"/>
      <c r="J6" s="41"/>
      <c r="K6" s="42"/>
      <c r="L6" s="43"/>
      <c r="M6" s="44"/>
    </row>
    <row r="7" spans="1:15" ht="15.75" thickBot="1" x14ac:dyDescent="0.3">
      <c r="A7" s="82"/>
      <c r="B7" s="83"/>
      <c r="C7" s="83"/>
      <c r="D7" s="84"/>
      <c r="E7" s="40"/>
      <c r="F7" s="40"/>
      <c r="G7" s="41"/>
      <c r="H7" s="41"/>
      <c r="I7" s="41"/>
      <c r="J7" s="41"/>
      <c r="K7" s="42"/>
      <c r="L7" s="43"/>
      <c r="M7" s="44"/>
    </row>
    <row r="8" spans="1:15" ht="15.75" thickBot="1" x14ac:dyDescent="0.3">
      <c r="A8" s="82"/>
      <c r="B8" s="83"/>
      <c r="C8" s="83"/>
      <c r="D8" s="84"/>
      <c r="E8" s="40"/>
      <c r="F8" s="40"/>
      <c r="G8" s="41"/>
      <c r="H8" s="41"/>
      <c r="I8" s="45">
        <f>+I7/1.13</f>
        <v>0</v>
      </c>
      <c r="J8" s="41"/>
      <c r="K8" s="42"/>
      <c r="L8" s="66" t="s">
        <v>1114</v>
      </c>
      <c r="M8" s="44"/>
    </row>
    <row r="9" spans="1:15" ht="15.75" thickBot="1" x14ac:dyDescent="0.3">
      <c r="A9" s="82"/>
      <c r="B9" s="83"/>
      <c r="C9" s="83"/>
      <c r="D9" s="84"/>
      <c r="E9" s="40"/>
      <c r="F9" s="40"/>
      <c r="G9" s="36">
        <f>SUM(G4:G8)</f>
        <v>385</v>
      </c>
      <c r="H9" s="36">
        <f>+H4+H7</f>
        <v>123018.27999999996</v>
      </c>
      <c r="I9" s="36">
        <f>+I8+I5</f>
        <v>581.15044247787625</v>
      </c>
      <c r="J9" s="36">
        <f>+J4</f>
        <v>0</v>
      </c>
      <c r="K9" s="36">
        <f>SUM(G9:J9)</f>
        <v>123984.43044247784</v>
      </c>
      <c r="L9" s="65">
        <f>+K9*0.0175</f>
        <v>2169.7275327433622</v>
      </c>
      <c r="M9" s="44"/>
    </row>
    <row r="10" spans="1:15" x14ac:dyDescent="0.25">
      <c r="A10" s="82"/>
      <c r="B10" s="83"/>
      <c r="C10" s="83"/>
      <c r="D10" s="84"/>
      <c r="E10" s="40"/>
      <c r="F10" s="40"/>
      <c r="G10" s="49"/>
      <c r="H10" s="49"/>
      <c r="I10" s="49"/>
      <c r="J10" s="49"/>
      <c r="K10" s="49"/>
      <c r="L10" s="98">
        <f>+'RET 10%'!I2998</f>
        <v>698.2299999999999</v>
      </c>
      <c r="M10" s="96">
        <f>+L9+L10</f>
        <v>2867.9575327433622</v>
      </c>
    </row>
    <row r="11" spans="1:15" ht="15.75" thickBot="1" x14ac:dyDescent="0.3">
      <c r="A11" s="82"/>
      <c r="B11" s="83"/>
      <c r="C11" s="83"/>
      <c r="D11" s="84"/>
      <c r="E11" s="40"/>
      <c r="F11" s="40"/>
      <c r="G11" s="49"/>
      <c r="H11" s="49"/>
      <c r="I11" s="49"/>
      <c r="J11" s="49"/>
      <c r="K11" s="49" t="s">
        <v>1048</v>
      </c>
      <c r="L11" s="99"/>
      <c r="M11" s="97"/>
    </row>
    <row r="12" spans="1:15" ht="15.75" thickBot="1" x14ac:dyDescent="0.3">
      <c r="A12" s="82"/>
      <c r="B12" s="83"/>
      <c r="C12" s="83"/>
      <c r="D12" s="84"/>
      <c r="E12" s="40"/>
      <c r="F12" s="40"/>
      <c r="G12" s="49"/>
      <c r="H12" s="49"/>
      <c r="I12" s="49"/>
      <c r="J12" s="49"/>
      <c r="K12" s="49"/>
      <c r="L12" s="50"/>
      <c r="M12" s="44"/>
      <c r="O12">
        <v>1019.23</v>
      </c>
    </row>
    <row r="13" spans="1:15" ht="15.75" thickBot="1" x14ac:dyDescent="0.3">
      <c r="A13" s="82"/>
      <c r="B13" s="83"/>
      <c r="C13" s="83"/>
      <c r="D13" s="84"/>
      <c r="E13" s="38"/>
      <c r="F13" s="51" t="s">
        <v>1049</v>
      </c>
      <c r="G13" s="36" t="s">
        <v>1050</v>
      </c>
      <c r="H13" s="37"/>
      <c r="I13" s="67" t="s">
        <v>1051</v>
      </c>
      <c r="J13" s="49"/>
      <c r="K13" s="49">
        <f>+K9+G9</f>
        <v>124369.43044247784</v>
      </c>
      <c r="L13" s="50"/>
      <c r="M13" s="44"/>
      <c r="O13">
        <v>258.35000000000002</v>
      </c>
    </row>
    <row r="14" spans="1:15" x14ac:dyDescent="0.25">
      <c r="A14" s="82"/>
      <c r="B14" s="83"/>
      <c r="C14" s="83"/>
      <c r="D14" s="84"/>
      <c r="E14" s="40" t="s">
        <v>1052</v>
      </c>
      <c r="F14" s="41">
        <f>+'COMPRAS 2021'!P5000</f>
        <v>10353.469999999999</v>
      </c>
      <c r="G14" s="41">
        <f>+'COMPRAS 2021'!M5000</f>
        <v>490.94000000000011</v>
      </c>
      <c r="H14" s="42" t="s">
        <v>1052</v>
      </c>
      <c r="I14" s="52">
        <f>+H9+I9</f>
        <v>123599.43044247784</v>
      </c>
      <c r="J14" s="49"/>
      <c r="K14" s="49">
        <f>+K13/K9</f>
        <v>1.0031052286051241</v>
      </c>
      <c r="L14" s="50">
        <f>+K14*F15-F15</f>
        <v>4.1794858568182462</v>
      </c>
      <c r="M14" s="44"/>
      <c r="O14">
        <v>667.02</v>
      </c>
    </row>
    <row r="15" spans="1:15" x14ac:dyDescent="0.25">
      <c r="A15" s="82"/>
      <c r="B15" s="83"/>
      <c r="C15" s="83"/>
      <c r="D15" s="84"/>
      <c r="E15" s="40" t="s">
        <v>1053</v>
      </c>
      <c r="F15" s="41">
        <f>+F14*0.13</f>
        <v>1345.9511</v>
      </c>
      <c r="G15" s="41"/>
      <c r="H15" s="42" t="s">
        <v>1053</v>
      </c>
      <c r="I15" s="52">
        <f>+I14*0.13</f>
        <v>16067.92595752212</v>
      </c>
      <c r="J15" s="49"/>
      <c r="K15" s="49"/>
      <c r="L15" s="50"/>
      <c r="M15" s="44"/>
      <c r="O15">
        <v>371.62</v>
      </c>
    </row>
    <row r="16" spans="1:15" ht="15.75" thickBot="1" x14ac:dyDescent="0.3">
      <c r="A16" s="82"/>
      <c r="B16" s="83"/>
      <c r="C16" s="83"/>
      <c r="D16" s="84"/>
      <c r="E16" s="40"/>
      <c r="F16" s="41"/>
      <c r="G16" s="41"/>
      <c r="H16" s="42"/>
      <c r="I16" s="52"/>
      <c r="J16" s="49"/>
      <c r="K16" s="49"/>
      <c r="L16" s="53">
        <f>+L9+L10+J18</f>
        <v>17439.4118761223</v>
      </c>
      <c r="M16" s="44"/>
    </row>
    <row r="17" spans="1:15" ht="15.75" thickTop="1" x14ac:dyDescent="0.25">
      <c r="A17" s="82"/>
      <c r="B17" s="83"/>
      <c r="C17" s="83"/>
      <c r="D17" s="84"/>
      <c r="E17" s="40"/>
      <c r="F17" s="54"/>
      <c r="G17" s="39" t="s">
        <v>1054</v>
      </c>
      <c r="H17" s="42"/>
      <c r="I17" s="55" t="s">
        <v>1055</v>
      </c>
      <c r="J17" s="49"/>
      <c r="K17" s="49"/>
      <c r="L17" s="50"/>
      <c r="M17" s="44"/>
    </row>
    <row r="18" spans="1:15" ht="15.75" thickBot="1" x14ac:dyDescent="0.3">
      <c r="A18" s="82"/>
      <c r="B18" s="83"/>
      <c r="C18" s="83"/>
      <c r="D18" s="84"/>
      <c r="E18" s="40"/>
      <c r="F18" s="56">
        <f>+F15+F16</f>
        <v>1345.9511</v>
      </c>
      <c r="G18" s="46">
        <f>+L14</f>
        <v>4.1794858568182462</v>
      </c>
      <c r="H18" s="47">
        <f>+I15-G19</f>
        <v>14726.154343378939</v>
      </c>
      <c r="I18" s="57">
        <f>+'RET 1%'!$H$1999</f>
        <v>154.69999999999999</v>
      </c>
      <c r="J18" s="58">
        <f>+H18-I18</f>
        <v>14571.454343378939</v>
      </c>
      <c r="K18" s="49"/>
      <c r="L18" s="50"/>
      <c r="M18" s="44"/>
      <c r="O18">
        <f>SUM(O12:O17)</f>
        <v>2316.2199999999998</v>
      </c>
    </row>
    <row r="19" spans="1:15" ht="15.75" thickBot="1" x14ac:dyDescent="0.3">
      <c r="A19" s="82"/>
      <c r="B19" s="83"/>
      <c r="C19" s="83"/>
      <c r="D19" s="84"/>
      <c r="E19" s="40"/>
      <c r="F19" s="40"/>
      <c r="G19" s="59">
        <f>+F18-G18</f>
        <v>1341.7716141431818</v>
      </c>
      <c r="H19" s="49"/>
      <c r="I19" s="49"/>
      <c r="J19" s="49"/>
      <c r="K19" s="49"/>
      <c r="L19" s="50"/>
      <c r="M19" s="44"/>
    </row>
    <row r="20" spans="1:15" ht="15.75" thickBot="1" x14ac:dyDescent="0.3">
      <c r="A20" s="85"/>
      <c r="B20" s="86"/>
      <c r="C20" s="86"/>
      <c r="D20" s="87"/>
      <c r="E20" s="60"/>
      <c r="F20" s="60"/>
      <c r="G20" s="61"/>
      <c r="H20" s="61"/>
      <c r="I20" s="61"/>
      <c r="J20" s="61"/>
      <c r="K20" s="61"/>
      <c r="L20" s="62"/>
      <c r="M20" s="48"/>
    </row>
  </sheetData>
  <mergeCells count="10">
    <mergeCell ref="A2:D20"/>
    <mergeCell ref="E2:F2"/>
    <mergeCell ref="L2:M3"/>
    <mergeCell ref="G2:G3"/>
    <mergeCell ref="H2:H3"/>
    <mergeCell ref="I2:I3"/>
    <mergeCell ref="J2:J3"/>
    <mergeCell ref="K2:K3"/>
    <mergeCell ref="M10:M11"/>
    <mergeCell ref="L10:L11"/>
  </mergeCells>
  <conditionalFormatting sqref="L2 L15:M20 M13:M14 L12:M12 L4:M10">
    <cfRule type="containsText" dxfId="1" priority="2" operator="containsText" text="DATO">
      <formula>NOT(ISERROR(SEARCH("DATO",L2)))</formula>
    </cfRule>
  </conditionalFormatting>
  <conditionalFormatting sqref="L13:L14">
    <cfRule type="containsText" dxfId="0" priority="1" operator="containsText" text="DATO">
      <formula>NOT(ISERROR(SEARCH("DATO",L13)))</formula>
    </cfRule>
  </conditionalFormatting>
  <pageMargins left="0.7" right="0.7" top="0.75" bottom="0.75" header="0.3" footer="0.3"/>
  <pageSetup orientation="landscape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COMPRAS 2021</vt:lpstr>
      <vt:lpstr>CONSUMIDOR 2021</vt:lpstr>
      <vt:lpstr>VENTAS CONTRIBUYENTE 2021</vt:lpstr>
      <vt:lpstr>base de clientes</vt:lpstr>
      <vt:lpstr>RET 1%</vt:lpstr>
      <vt:lpstr>RET 10%</vt:lpstr>
      <vt:lpstr>DECLARACION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Lenovo</cp:lastModifiedBy>
  <cp:lastPrinted>2021-05-13T13:54:31Z</cp:lastPrinted>
  <dcterms:created xsi:type="dcterms:W3CDTF">2021-04-05T22:54:25Z</dcterms:created>
  <dcterms:modified xsi:type="dcterms:W3CDTF">2021-10-20T22:46:46Z</dcterms:modified>
</cp:coreProperties>
</file>