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SONIA MARISOL\2024\"/>
    </mc:Choice>
  </mc:AlternateContent>
  <xr:revisionPtr revIDLastSave="0" documentId="13_ncr:1_{2DA014B0-18CD-4383-AC56-DB6C4DB757E8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3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E5" i="29"/>
  <c r="T3" i="8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3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7" i="29"/>
  <c r="F12" i="29"/>
  <c r="F8" i="29"/>
  <c r="I5" i="29" l="1"/>
  <c r="I4" i="29"/>
  <c r="E3" i="13"/>
  <c r="I6" i="29" l="1"/>
  <c r="F3" i="13" l="1"/>
  <c r="T1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2" i="7" l="1"/>
  <c r="J3" i="13" l="1"/>
  <c r="H3" i="13"/>
  <c r="M18" i="10" l="1"/>
  <c r="N18" i="10"/>
  <c r="O18" i="10"/>
  <c r="O19" i="10" s="1"/>
  <c r="O20" i="10" s="1"/>
  <c r="P18" i="10"/>
  <c r="Q18" i="10"/>
  <c r="R18" i="10"/>
  <c r="S18" i="10"/>
  <c r="T18" i="10"/>
  <c r="U18" i="10"/>
  <c r="L18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12" i="7" l="1"/>
  <c r="K12" i="7"/>
  <c r="L12" i="7"/>
  <c r="M12" i="7"/>
  <c r="N12" i="7"/>
  <c r="O12" i="7"/>
  <c r="P12" i="7"/>
  <c r="I12" i="7"/>
  <c r="H12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<sst xmlns="http://schemas.openxmlformats.org/spreadsheetml/2006/main" count="25948" uniqueCount="9081">
  <si>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</si>
  <si>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</si>
  <si>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</si>
  <si>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</si>
  <si>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</si>
  <si>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</si>
  <si>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</si>
  <si>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</si>
  <si>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</si>
  <si>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</si>
  <si>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</si>
  <si>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</si>
  <si>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</si>
  <si>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</si>
  <si>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</si>
  <si>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</si>
  <si>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</si>
  <si>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</si>
  <si>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</si>
  <si>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</si>
  <si>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</si>
  <si>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</si>
  <si>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</si>
  <si>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</si>
  <si>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</si>
  <si>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</si>
  <si>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</si>
  <si>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</si>
  <si>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</si>
  <si>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</si>
  <si>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</si>
  <si>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</si>
  <si>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</si>
  <si>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</si>
  <si>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</si>
  <si>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</si>
  <si>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</si>
  <si>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</si>
  <si>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</si>
  <si>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</si>
  <si>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</si>
  <si>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</si>
  <si>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</si>
  <si>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</si>
  <si>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</si>
  <si>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</si>
  <si>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</si>
  <si>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</si>
  <si>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</si>
  <si>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</si>
  <si>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</si>
  <si>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</si>
  <si>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</si>
  <si>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</si>
  <si>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</si>
  <si>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</si>
  <si>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</si>
  <si>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</si>
  <si>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</si>
  <si>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</si>
  <si>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</si>
  <si>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</si>
  <si>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</si>
  <si>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</si>
  <si>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</si>
  <si>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</si>
  <si>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</si>
  <si>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</si>
  <si>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</si>
  <si>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</si>
  <si>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</si>
  <si>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</si>
  <si>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</si>
  <si>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</si>
  <si>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</si>
  <si>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</si>
  <si>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</si>
  <si>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</si>
  <si>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</si>
  <si>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</si>
  <si>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</si>
  <si>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</si>
  <si>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</si>
  <si>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</si>
  <si>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</si>
  <si>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</si>
  <si>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</si>
  <si>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</si>
  <si>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</si>
  <si>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</si>
  <si>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</si>
  <si>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</si>
  <si>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</si>
  <si>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</si>
  <si>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</si>
  <si>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</si>
  <si>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</si>
  <si>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</si>
  <si>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</si>
  <si>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</si>
  <si>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</si>
  <si>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</si>
  <si>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</si>
  <si>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</si>
  <si>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</si>
  <si>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</si>
  <si>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</si>
  <si>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</si>
  <si>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</si>
  <si>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</si>
  <si>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</si>
  <si>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</si>
  <si>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</si>
  <si>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</si>
  <si>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</si>
  <si>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</si>
  <si>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</si>
  <si>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</si>
  <si>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</si>
  <si>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</si>
  <si>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</si>
  <si>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</si>
  <si>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</si>
  <si>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</si>
  <si>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</si>
  <si>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</si>
  <si>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</si>
  <si>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</si>
  <si>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</si>
  <si>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</si>
  <si>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</si>
  <si>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</si>
  <si>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</si>
  <si>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</si>
  <si>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</si>
  <si>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</si>
  <si>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</si>
  <si>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</si>
  <si>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</si>
  <si>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</si>
  <si>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</si>
  <si>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</si>
  <si>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</si>
  <si>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</si>
  <si>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</si>
  <si>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</si>
  <si>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</si>
  <si>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</si>
  <si>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</si>
  <si>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</si>
  <si>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</si>
  <si>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</si>
  <si>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</si>
  <si>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</si>
  <si>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</si>
  <si>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</si>
  <si>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</si>
  <si>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</si>
  <si>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</si>
  <si>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</si>
  <si>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</si>
  <si>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</si>
  <si>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</si>
  <si>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</si>
  <si>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</si>
  <si>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</si>
  <si>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</si>
  <si>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</si>
  <si>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</si>
  <si>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</si>
  <si>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</si>
  <si>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</si>
  <si>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</si>
  <si>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</si>
  <si>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</si>
  <si>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</si>
  <si>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</si>
  <si>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</si>
  <si>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</si>
  <si>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</si>
  <si>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</si>
  <si>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</si>
  <si>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</si>
  <si>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</si>
  <si>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</si>
  <si>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</si>
  <si>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</si>
  <si>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</si>
  <si>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</si>
  <si>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</si>
  <si>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</si>
  <si>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</si>
  <si>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</si>
  <si>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</si>
  <si>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</si>
  <si>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</si>
  <si>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</si>
  <si>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</si>
  <si>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</si>
  <si>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</si>
  <si>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</si>
  <si>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</si>
  <si>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</si>
  <si>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</si>
  <si>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</si>
  <si>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</si>
  <si>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</si>
  <si>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</si>
  <si>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</si>
  <si>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</si>
  <si>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</si>
  <si>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</si>
  <si>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</si>
  <si>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</si>
  <si>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</si>
  <si>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</si>
  <si>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</si>
  <si>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</si>
  <si>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</si>
  <si>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</si>
  <si>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</si>
  <si>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</si>
  <si>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</si>
  <si>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</si>
  <si>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</si>
  <si>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</si>
  <si>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</si>
  <si>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</si>
  <si>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</si>
  <si>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</si>
  <si>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</si>
  <si>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</si>
  <si>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</si>
  <si>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</si>
  <si>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</si>
  <si>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</si>
  <si>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</si>
  <si>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</si>
  <si>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</si>
  <si>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</si>
  <si>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</si>
  <si>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</si>
  <si>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</si>
  <si>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</si>
  <si>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</si>
  <si>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</si>
  <si>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</si>
  <si>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</si>
  <si>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</si>
  <si>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</si>
  <si>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</si>
  <si>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</si>
  <si>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</si>
  <si>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</si>
  <si>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</si>
  <si>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</si>
  <si>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</si>
  <si>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</si>
  <si>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</si>
  <si>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</si>
  <si>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</si>
  <si>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</si>
  <si>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</si>
  <si>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</si>
  <si>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</si>
  <si>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</si>
  <si>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</si>
  <si>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</si>
  <si>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</si>
  <si>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</si>
  <si>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</si>
  <si>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</si>
  <si>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</si>
  <si>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</si>
  <si>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</si>
  <si>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</si>
  <si>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</si>
  <si>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</si>
  <si>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</si>
  <si>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</si>
  <si>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</si>
  <si>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</si>
  <si>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</si>
  <si>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</si>
  <si>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</si>
  <si>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</si>
  <si>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</si>
  <si>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</si>
  <si>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</si>
  <si>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</si>
  <si>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</si>
  <si>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</si>
  <si>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</si>
  <si>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</si>
  <si>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</si>
  <si>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</si>
  <si>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</si>
  <si>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</si>
  <si>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</si>
  <si>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</si>
  <si>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</si>
  <si>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</si>
  <si>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</si>
  <si>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</si>
  <si>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</si>
  <si>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</si>
  <si>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</si>
  <si>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</si>
  <si>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</si>
  <si>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</si>
  <si>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</si>
  <si>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</si>
  <si>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</si>
  <si>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</si>
  <si>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</si>
  <si>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</si>
  <si>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</si>
  <si>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</si>
  <si>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</si>
  <si>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</si>
  <si>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</si>
  <si>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</si>
  <si>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</si>
  <si>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</si>
  <si>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</si>
  <si>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</si>
  <si>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</si>
  <si>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</si>
  <si>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</si>
  <si>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</si>
  <si>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</si>
  <si>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</si>
  <si>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</si>
  <si>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</si>
  <si>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</si>
  <si>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</si>
  <si>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</si>
  <si>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</si>
  <si>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</si>
  <si>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</si>
  <si>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</si>
  <si>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</si>
  <si>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</si>
  <si>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</si>
  <si>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</si>
  <si>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</si>
  <si>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</si>
  <si>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</si>
  <si>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</si>
  <si>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</si>
  <si>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</si>
  <si>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</si>
  <si>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</si>
  <si>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</si>
  <si>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</si>
  <si>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</si>
  <si>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</si>
  <si>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</si>
  <si>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</si>
  <si>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</si>
  <si>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</si>
  <si>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</si>
  <si>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</si>
  <si>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</si>
  <si>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</si>
  <si>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</si>
  <si>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</si>
  <si>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</si>
  <si>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</si>
  <si>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</si>
  <si>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</si>
  <si>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</si>
  <si>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</si>
  <si>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</si>
  <si>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</si>
  <si>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</si>
  <si>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</si>
  <si>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</si>
  <si>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</si>
  <si>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</si>
  <si>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</si>
  <si>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</si>
  <si>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</si>
  <si>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</si>
  <si>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</si>
  <si>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</si>
  <si>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</si>
  <si>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</si>
  <si>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</si>
  <si>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</si>
  <si>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</si>
  <si>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</si>
  <si>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</si>
  <si>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</si>
  <si>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</si>
  <si>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</si>
  <si>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</si>
  <si>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</si>
  <si>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</si>
  <si>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</si>
  <si>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</si>
  <si>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</si>
  <si>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</si>
  <si>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</si>
  <si>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</si>
  <si>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</si>
  <si>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</si>
  <si>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</si>
  <si>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</si>
  <si>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</si>
  <si>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</si>
  <si>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</si>
  <si>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</si>
  <si>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</si>
  <si>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</si>
  <si>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</si>
  <si>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</si>
  <si>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</si>
  <si>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</si>
  <si>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</si>
  <si>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</si>
  <si>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</si>
  <si>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</si>
  <si>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</si>
  <si>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</si>
  <si>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</si>
  <si>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</si>
  <si>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</si>
  <si>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</si>
  <si>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</si>
  <si>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</si>
  <si>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</si>
  <si>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</si>
  <si>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</si>
  <si>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</si>
  <si>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</si>
  <si>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</si>
  <si>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</si>
  <si>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</si>
  <si>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</si>
  <si>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</si>
  <si>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</si>
  <si>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</si>
  <si>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</si>
  <si>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</si>
  <si>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</si>
  <si>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</si>
  <si>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</si>
  <si>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</si>
  <si>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</si>
  <si>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</si>
  <si>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</si>
  <si>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</si>
  <si>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</si>
  <si>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</si>
  <si>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</si>
  <si>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</si>
  <si>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</si>
  <si>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</si>
  <si>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</si>
  <si>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</si>
  <si>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</si>
  <si>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</si>
  <si>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</si>
  <si>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</si>
  <si>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</si>
  <si>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</si>
  <si>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</si>
  <si>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</si>
  <si>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</si>
  <si>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</si>
  <si>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</si>
  <si>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</si>
  <si>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</si>
  <si>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</si>
  <si>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</si>
  <si>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</si>
  <si>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</si>
  <si>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</si>
  <si>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</si>
  <si>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</si>
  <si>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</si>
  <si>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</si>
  <si>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</si>
  <si>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</si>
  <si>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</si>
  <si>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</si>
  <si>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</si>
  <si>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</si>
  <si>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</si>
  <si>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</si>
  <si>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</si>
  <si>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</si>
  <si>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</si>
  <si>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</si>
  <si>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</si>
  <si>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</si>
  <si>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</si>
  <si>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</si>
  <si>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</si>
  <si>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</si>
  <si>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</si>
  <si>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</si>
  <si>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</si>
  <si>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</si>
  <si>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</si>
  <si>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</si>
  <si>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</si>
  <si>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</si>
  <si>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</si>
  <si>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</si>
  <si>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</si>
  <si>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</si>
  <si>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</si>
  <si>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</si>
  <si>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</si>
  <si>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</si>
  <si>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</si>
  <si>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</si>
  <si>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</si>
  <si>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</si>
  <si>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</si>
  <si>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</si>
  <si>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</si>
  <si>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</si>
  <si>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</si>
  <si>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</si>
  <si>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</si>
  <si>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</si>
  <si>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</si>
  <si>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</si>
  <si>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</si>
  <si>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</si>
  <si>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</si>
  <si>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</si>
  <si>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</si>
  <si>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</si>
  <si>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</si>
  <si>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</si>
  <si>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</si>
  <si>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</si>
  <si>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</si>
  <si>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</si>
  <si>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</si>
  <si>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</si>
  <si>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</si>
  <si>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</si>
  <si>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</si>
  <si>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</si>
  <si>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</si>
  <si>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</si>
  <si>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</si>
  <si>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</si>
  <si>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</si>
  <si>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</si>
  <si>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</si>
  <si>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</si>
  <si>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</si>
  <si>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</si>
  <si>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</si>
  <si>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</si>
  <si>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</si>
  <si>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</si>
  <si>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</si>
  <si>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</si>
  <si>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</si>
  <si>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</si>
  <si>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</si>
  <si>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</si>
  <si>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</si>
  <si>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</si>
  <si>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</si>
  <si>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</si>
  <si>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</si>
  <si>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</si>
  <si>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</si>
  <si>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</si>
  <si>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</si>
  <si>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</si>
  <si>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</si>
  <si>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</si>
  <si>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</si>
  <si>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</si>
  <si>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</si>
  <si>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</si>
  <si>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</si>
  <si>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</si>
  <si>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</si>
  <si>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</si>
  <si>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</si>
  <si>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</si>
  <si>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</si>
  <si>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</si>
  <si>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</si>
  <si>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</si>
  <si>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</si>
  <si>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</si>
  <si>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</si>
  <si>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</si>
  <si>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</si>
  <si>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</si>
  <si>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</si>
  <si>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</si>
  <si>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</si>
  <si>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</si>
  <si>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</si>
  <si>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</si>
  <si>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</si>
  <si>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</si>
  <si>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</si>
  <si>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</si>
  <si>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</si>
  <si>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</si>
  <si>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</si>
  <si>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</si>
  <si>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</si>
  <si>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</si>
  <si>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</si>
  <si>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</si>
  <si>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</si>
  <si>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</si>
  <si>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</si>
  <si>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</si>
  <si>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</si>
  <si>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</si>
  <si>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</si>
  <si>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</si>
  <si>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</si>
  <si>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</si>
  <si>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</si>
  <si>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</si>
  <si>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</si>
  <si>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</si>
  <si>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</si>
  <si>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</si>
  <si>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</si>
  <si>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</si>
  <si>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</si>
  <si>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</si>
  <si>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</si>
  <si>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</si>
  <si>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</si>
  <si>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</si>
  <si>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</si>
  <si>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</si>
  <si>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</si>
  <si>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</si>
  <si>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</si>
  <si>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</si>
  <si>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</si>
  <si>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</si>
  <si>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</si>
  <si>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</si>
  <si>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</si>
  <si>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</si>
  <si>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</si>
  <si>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</si>
  <si>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</si>
  <si>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</si>
  <si>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</si>
  <si>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</si>
  <si>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</si>
  <si>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</si>
  <si>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</si>
  <si>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</si>
  <si>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</si>
  <si>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</si>
  <si>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</si>
  <si>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</si>
  <si>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</si>
  <si>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</si>
  <si>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</si>
  <si>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</si>
  <si>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</si>
  <si>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</si>
  <si>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</si>
  <si>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</si>
  <si>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</si>
  <si>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</si>
  <si>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</si>
  <si>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</si>
  <si>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</si>
  <si>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</si>
  <si>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</si>
  <si>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</si>
  <si>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</si>
  <si>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</si>
  <si>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</si>
  <si>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</si>
  <si>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</si>
  <si>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</si>
  <si>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</si>
  <si>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</si>
  <si>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</si>
  <si>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</si>
  <si>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</si>
  <si>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</si>
  <si>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</si>
  <si>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</si>
  <si>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</si>
  <si>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</si>
  <si>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</si>
  <si>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</si>
  <si>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</si>
  <si>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</si>
  <si>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</si>
  <si>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</si>
  <si>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</si>
  <si>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</si>
  <si>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</si>
  <si>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</si>
  <si>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</si>
  <si>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</si>
  <si>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</si>
  <si>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</si>
  <si>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</si>
  <si>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</si>
  <si>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</si>
  <si>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</si>
  <si>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</si>
  <si>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</si>
  <si>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</si>
  <si>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</si>
  <si>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</si>
  <si>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</si>
  <si>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</si>
  <si>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</si>
  <si>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</si>
  <si>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</si>
  <si>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</si>
  <si>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</si>
  <si>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</si>
  <si>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</si>
  <si>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</si>
  <si>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</si>
  <si>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</si>
  <si>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</si>
  <si>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</si>
  <si>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</si>
  <si>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</si>
  <si>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</si>
  <si>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</si>
  <si>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</si>
  <si>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</si>
  <si>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</si>
  <si>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</si>
  <si>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</si>
  <si>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</si>
  <si>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</si>
  <si>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</si>
  <si>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</si>
  <si>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</si>
  <si>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</si>
  <si>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</si>
  <si>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</si>
  <si>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</si>
  <si>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</si>
  <si>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</si>
  <si>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</si>
  <si>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</si>
  <si>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</si>
  <si>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</si>
  <si>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</si>
  <si>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</si>
  <si>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</si>
  <si>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</si>
  <si>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</si>
  <si>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</si>
  <si>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</si>
  <si>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</si>
  <si>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</si>
  <si>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</si>
  <si>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</si>
  <si>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</si>
  <si>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</si>
  <si>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</si>
  <si>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</si>
  <si>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</si>
  <si>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</si>
  <si>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</si>
  <si>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</si>
  <si>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</si>
  <si>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</si>
  <si>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</si>
  <si>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</si>
  <si>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</si>
  <si>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</si>
  <si>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</si>
  <si>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</si>
  <si>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</si>
  <si>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</si>
  <si>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</si>
  <si>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</si>
  <si>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</si>
  <si>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</si>
  <si>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</si>
  <si>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</si>
  <si>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</si>
  <si>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</si>
  <si>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</si>
  <si>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</si>
  <si>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</si>
  <si>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</si>
  <si>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</si>
  <si>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</si>
  <si>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</si>
  <si>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</si>
  <si>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</si>
  <si>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</si>
  <si>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</si>
  <si>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</si>
  <si>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</si>
  <si>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</si>
  <si>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</si>
  <si>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</si>
  <si>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</si>
  <si>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</si>
  <si>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</si>
  <si>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</si>
  <si>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</si>
  <si>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</si>
  <si>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</si>
  <si>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</si>
  <si>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</si>
  <si>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</si>
  <si>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</si>
  <si>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</si>
  <si>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</si>
  <si>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</si>
  <si>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</si>
  <si>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</si>
  <si>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</si>
  <si>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</si>
  <si>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</si>
  <si>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</si>
  <si>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</si>
  <si>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</si>
  <si>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</si>
  <si>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</si>
  <si>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</si>
  <si>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</si>
  <si>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</si>
  <si>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</si>
  <si>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</si>
  <si>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</si>
  <si>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</si>
  <si>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</si>
  <si>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</si>
  <si>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</si>
  <si>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</si>
  <si>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</si>
  <si>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</si>
  <si>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</si>
  <si>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</si>
  <si>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</si>
  <si>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</si>
  <si>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</si>
  <si>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</si>
  <si>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</si>
  <si>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</si>
  <si>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</si>
  <si>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</si>
  <si>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</si>
  <si>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</si>
  <si>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</si>
  <si>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</si>
  <si>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</si>
  <si>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</si>
  <si>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</si>
  <si>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</si>
  <si>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</si>
  <si>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</si>
  <si>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</si>
  <si>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</si>
  <si>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</si>
  <si>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</si>
  <si>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</si>
  <si>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</si>
  <si>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</si>
  <si>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</si>
  <si>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</si>
  <si>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</si>
  <si>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</si>
  <si>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</si>
  <si>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</si>
  <si>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</si>
  <si>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</si>
  <si>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</si>
  <si>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</si>
  <si>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</si>
  <si>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</si>
  <si>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</si>
  <si>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</si>
  <si>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</si>
  <si>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</si>
  <si>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</si>
  <si>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</si>
  <si>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</si>
  <si>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</si>
  <si>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</si>
  <si>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</si>
  <si>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</si>
  <si>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</si>
  <si>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</si>
  <si>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</si>
  <si>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</si>
  <si>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</si>
  <si>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</si>
  <si>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</si>
  <si>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</si>
  <si>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</si>
  <si>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</si>
  <si>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</si>
  <si>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</si>
  <si>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</si>
  <si>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</si>
  <si>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</si>
  <si>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</si>
  <si>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</si>
  <si>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</si>
  <si>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</si>
  <si>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</si>
  <si>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</si>
  <si>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</si>
  <si>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</si>
  <si>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</si>
  <si>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</si>
  <si>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</si>
  <si>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</si>
  <si>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</si>
  <si>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</si>
  <si>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</si>
  <si>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</si>
  <si>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</si>
  <si>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</si>
  <si>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</si>
  <si>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</si>
  <si>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</si>
  <si>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</si>
  <si>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</si>
  <si>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</si>
  <si>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</si>
  <si>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</si>
  <si>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</si>
  <si>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</si>
  <si>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</si>
  <si>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</si>
  <si>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</si>
  <si>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</si>
  <si>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</si>
  <si>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</si>
  <si>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</si>
  <si>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</si>
  <si>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</si>
  <si>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</si>
  <si>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</si>
  <si>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</si>
  <si>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</si>
  <si>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</si>
  <si>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</si>
  <si>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</si>
  <si>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</si>
  <si>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</si>
  <si>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</si>
  <si>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</si>
  <si>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</si>
  <si>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</si>
  <si>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</si>
  <si>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</si>
  <si>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</si>
  <si>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</si>
  <si>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</si>
  <si>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</si>
  <si>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</si>
  <si>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</si>
  <si>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</si>
  <si>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</si>
  <si>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</si>
  <si>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</si>
  <si>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</si>
  <si>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</si>
  <si>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</si>
  <si>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</si>
  <si>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</si>
  <si>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</si>
  <si>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</si>
  <si>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</si>
  <si>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</si>
  <si>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</si>
  <si>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</si>
  <si>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</si>
  <si>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</si>
  <si>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</si>
  <si>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</si>
  <si>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</si>
  <si>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</si>
  <si>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</si>
  <si>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</si>
  <si>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</si>
  <si>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</si>
  <si>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</si>
  <si>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</si>
  <si>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</si>
  <si>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</si>
  <si>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</si>
  <si>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</si>
  <si>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</si>
  <si>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</si>
  <si>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</si>
  <si>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</si>
  <si>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</si>
  <si>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</si>
  <si>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</si>
  <si>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</si>
  <si>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</si>
  <si>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</si>
  <si>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</si>
  <si>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</si>
  <si>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</si>
  <si>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</si>
  <si>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</si>
  <si>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</si>
  <si>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</si>
  <si>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</si>
  <si>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</si>
  <si>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</si>
  <si>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</si>
  <si>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</si>
  <si>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</si>
  <si>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</si>
  <si>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</si>
  <si>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</si>
  <si>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</si>
  <si>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</si>
  <si>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</si>
  <si>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</si>
  <si>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</si>
  <si>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</si>
  <si>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</si>
  <si>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</si>
  <si>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</si>
  <si>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</si>
  <si>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</si>
  <si>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</si>
  <si>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</si>
  <si>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</si>
  <si>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</si>
  <si>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</si>
  <si>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</si>
  <si>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</si>
  <si>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</si>
  <si>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</si>
  <si>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</si>
  <si>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</si>
  <si>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</si>
  <si>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</si>
  <si>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</si>
  <si>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</si>
  <si>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</si>
  <si>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</si>
  <si>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</si>
  <si>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</si>
  <si>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</si>
  <si>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</si>
  <si>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</si>
  <si>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</si>
  <si>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</si>
  <si>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</si>
  <si>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</si>
  <si>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</si>
  <si>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</si>
  <si>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</si>
  <si>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</si>
  <si>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</si>
  <si>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</si>
  <si>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</si>
  <si>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</si>
  <si>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</si>
  <si>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</si>
  <si>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</si>
  <si>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</si>
  <si>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</si>
  <si>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</si>
  <si>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</si>
  <si>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</si>
  <si>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</si>
  <si>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</si>
  <si>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</si>
  <si>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</si>
  <si>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</si>
  <si>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</si>
  <si>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</si>
  <si>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</si>
  <si>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</si>
  <si>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</si>
  <si>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</si>
  <si>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</si>
  <si>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</si>
  <si>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</si>
  <si>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</si>
  <si>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</si>
  <si>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</si>
  <si>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</si>
  <si>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</si>
  <si>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</si>
  <si>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</si>
  <si>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</si>
  <si>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</si>
  <si>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</si>
  <si>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</si>
  <si>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</si>
  <si>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</si>
  <si>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</si>
  <si>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</si>
  <si>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</si>
  <si>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</si>
  <si>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</si>
  <si>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</si>
  <si>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</si>
  <si>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</si>
  <si>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</si>
  <si>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</si>
  <si>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</si>
  <si>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</si>
  <si>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</si>
  <si>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</si>
  <si>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</si>
  <si>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</si>
  <si>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</si>
  <si>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</si>
  <si>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</si>
  <si>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</si>
  <si>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</si>
  <si>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</si>
  <si>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</si>
  <si>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</si>
  <si>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</si>
  <si>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</si>
  <si>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</si>
  <si>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</si>
  <si>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</si>
  <si>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</si>
  <si>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</si>
  <si>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</si>
  <si>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</si>
  <si>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</si>
  <si>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</si>
  <si>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</si>
  <si>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</si>
  <si>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</si>
  <si>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</si>
  <si>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</si>
  <si>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</si>
  <si>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</si>
  <si>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</si>
  <si>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</si>
  <si>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</si>
  <si>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</si>
  <si>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</si>
  <si>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</si>
  <si>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</si>
  <si>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</si>
  <si>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</si>
  <si>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</si>
  <si>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</si>
  <si>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</si>
  <si>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</si>
  <si>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</si>
  <si>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</si>
  <si>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</si>
  <si>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</si>
  <si>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</si>
  <si>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</si>
  <si>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</si>
  <si>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</si>
  <si>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</si>
  <si>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</si>
  <si>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</si>
  <si>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</si>
  <si>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</si>
  <si>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</si>
  <si>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</si>
  <si>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</si>
  <si>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</si>
  <si>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</si>
  <si>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</si>
  <si>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</si>
  <si>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</si>
  <si>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</si>
  <si>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</si>
  <si>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</si>
  <si>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</si>
  <si>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</si>
  <si>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</si>
  <si>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</si>
  <si>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</si>
  <si>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</si>
  <si>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</si>
  <si>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</si>
  <si>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</si>
  <si>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</si>
  <si>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</si>
  <si>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</si>
  <si>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</si>
  <si>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</si>
  <si>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</si>
  <si>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</si>
  <si>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</si>
  <si>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</si>
  <si>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</si>
  <si>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</si>
  <si>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</si>
  <si>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</si>
  <si>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</si>
  <si>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</si>
  <si>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</si>
  <si>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</si>
  <si>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</si>
  <si>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</si>
  <si>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</si>
  <si>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</si>
  <si>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</si>
  <si>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</si>
  <si>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</si>
  <si>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</si>
  <si>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</si>
  <si>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</si>
  <si>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</si>
  <si>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</si>
  <si>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</si>
  <si>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</si>
  <si>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</si>
  <si>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</si>
  <si>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</si>
  <si>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</si>
  <si>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</si>
  <si>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</si>
  <si>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</si>
  <si>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</si>
  <si>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</si>
  <si>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</si>
  <si>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</si>
  <si>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</si>
  <si>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</si>
  <si>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</si>
  <si>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</si>
  <si>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</si>
  <si>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</si>
  <si>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</si>
  <si>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</si>
  <si>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</si>
  <si>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</si>
  <si>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</si>
  <si>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</si>
  <si>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</si>
  <si>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</si>
  <si>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</si>
  <si>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</si>
  <si>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</si>
  <si>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</si>
  <si>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</si>
  <si>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</si>
  <si>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</si>
  <si>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</si>
  <si>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</si>
  <si>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</si>
  <si>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</si>
  <si>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</si>
  <si>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</si>
  <si>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</si>
  <si>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</si>
  <si>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</si>
  <si>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</si>
  <si>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</si>
  <si>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</si>
  <si>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</si>
  <si>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</si>
  <si>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</si>
  <si>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</si>
  <si>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</si>
  <si>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</si>
  <si>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</si>
  <si>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</si>
  <si>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</si>
  <si>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</si>
  <si>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</si>
  <si>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</si>
  <si>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</si>
  <si>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</si>
  <si>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</si>
  <si>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</si>
  <si>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</si>
  <si>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</si>
  <si>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</si>
  <si>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</si>
  <si>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</si>
  <si>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</si>
  <si>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</si>
  <si>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</si>
  <si>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</si>
  <si>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</si>
  <si>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</si>
  <si>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</si>
  <si>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</si>
  <si>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</si>
  <si>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</si>
  <si>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</si>
  <si>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</si>
  <si>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</si>
  <si>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</si>
  <si>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</si>
  <si>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</si>
  <si>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</si>
  <si>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</si>
  <si>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</si>
  <si>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</si>
  <si>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</si>
  <si>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</si>
  <si>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</si>
  <si>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</si>
  <si>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</si>
  <si>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</si>
  <si>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</si>
  <si>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</si>
  <si>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</si>
  <si>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</si>
  <si>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</si>
  <si>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</si>
  <si>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</si>
  <si>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</si>
  <si>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</si>
  <si>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</si>
  <si>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</si>
  <si>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</si>
  <si>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</si>
  <si>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</si>
  <si>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</si>
  <si>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</si>
  <si>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</si>
  <si>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</si>
  <si>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</si>
  <si>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</si>
  <si>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</si>
  <si>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</si>
  <si>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</si>
  <si>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</si>
  <si>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</si>
  <si>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</si>
  <si>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</si>
  <si>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</si>
  <si>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</si>
  <si>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</si>
  <si>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</si>
  <si>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</si>
  <si>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</si>
  <si>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</si>
  <si>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</si>
  <si>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</si>
  <si>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</si>
  <si>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</si>
  <si>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</si>
  <si>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</si>
  <si>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</si>
  <si>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</si>
  <si>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</si>
  <si>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</si>
  <si>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</si>
  <si>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</si>
  <si>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</si>
  <si>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</si>
  <si>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</si>
  <si>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</si>
  <si>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</si>
  <si>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</si>
  <si>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</si>
  <si>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</si>
  <si>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</si>
  <si>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</si>
  <si>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</si>
  <si>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</si>
  <si>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</si>
  <si>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</si>
  <si>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</si>
  <si>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</si>
  <si>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</si>
  <si>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</si>
  <si>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</si>
  <si>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</si>
  <si>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</si>
  <si>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</si>
  <si>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</si>
  <si>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</si>
  <si>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</si>
  <si>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</si>
  <si>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</si>
  <si>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</si>
  <si>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</si>
  <si>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</si>
  <si>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</si>
  <si>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</si>
  <si>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</si>
  <si>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</si>
  <si>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</si>
  <si>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</si>
  <si>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</si>
  <si>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</si>
  <si>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</si>
  <si>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</si>
  <si>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</si>
  <si>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</si>
  <si>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</si>
  <si>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</si>
  <si>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</si>
  <si>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</si>
  <si>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</si>
  <si>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</si>
  <si>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</si>
  <si>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</si>
  <si>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</si>
  <si>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</si>
  <si>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</si>
  <si>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</si>
  <si>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</si>
  <si>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</si>
  <si>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</si>
  <si>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</si>
  <si>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</si>
  <si>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</si>
  <si>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</si>
  <si>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</si>
  <si>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</si>
  <si>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</si>
  <si>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</si>
  <si>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</si>
  <si>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</si>
  <si>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</si>
  <si>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</si>
  <si>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</si>
  <si>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</si>
  <si>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</si>
  <si>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</si>
  <si>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</si>
  <si>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</si>
  <si>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</si>
  <si>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</si>
  <si>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</si>
  <si>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</si>
  <si>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</si>
  <si>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</si>
  <si>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</si>
  <si>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</si>
  <si>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</si>
  <si>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</si>
  <si>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</si>
  <si>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</si>
  <si>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</si>
  <si>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</si>
  <si>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</si>
  <si>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</si>
  <si>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</si>
  <si>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</si>
  <si>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</si>
  <si>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</si>
  <si>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</si>
  <si>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</si>
  <si>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</si>
  <si>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</si>
  <si>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</si>
  <si>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</si>
  <si>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</si>
  <si>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</si>
  <si>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</si>
  <si>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</si>
  <si>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</si>
  <si>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</si>
  <si>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</si>
  <si>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</si>
  <si>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</si>
  <si>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</si>
  <si>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</si>
  <si>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</si>
  <si>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</si>
  <si>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</si>
  <si>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</si>
  <si>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</si>
  <si>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</si>
  <si>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</si>
  <si>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</si>
  <si>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</si>
  <si>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</si>
  <si>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</si>
  <si>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</si>
  <si>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</si>
  <si>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</si>
  <si>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</si>
  <si>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</si>
  <si>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</si>
  <si>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</si>
  <si>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</si>
  <si>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</si>
  <si>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</si>
  <si>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</si>
  <si>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</si>
  <si>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</si>
  <si>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</si>
  <si>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</si>
  <si>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</si>
  <si>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</si>
  <si>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</si>
  <si>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</si>
  <si>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</si>
  <si>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</si>
  <si>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</si>
  <si>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</si>
  <si>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</si>
  <si>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</si>
  <si>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</si>
  <si>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</si>
  <si>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</si>
  <si>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</si>
  <si>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</si>
  <si>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</si>
  <si>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</si>
  <si>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</si>
  <si>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</si>
  <si>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</si>
  <si>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</si>
  <si>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</si>
  <si>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</si>
  <si>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</si>
  <si>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</si>
  <si>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</si>
  <si>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</si>
  <si>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</si>
  <si>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</si>
  <si>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</si>
  <si>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</si>
  <si>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</si>
  <si>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</si>
  <si>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</si>
  <si>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</si>
  <si>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</si>
  <si>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</si>
  <si>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</si>
  <si>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</si>
  <si>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</si>
  <si>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</si>
  <si>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</si>
  <si>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</si>
  <si>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</si>
  <si>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</si>
  <si>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</si>
  <si>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</si>
  <si>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</si>
  <si>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</si>
  <si>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</si>
  <si>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</si>
  <si>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</si>
  <si>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</si>
  <si>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</si>
  <si>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</si>
  <si>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</si>
  <si>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</si>
  <si>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</si>
  <si>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</si>
  <si>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</si>
  <si>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</si>
  <si>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</si>
  <si>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</si>
  <si>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</si>
  <si>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</si>
  <si>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</si>
  <si>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</si>
  <si>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</si>
  <si>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</si>
  <si>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</si>
  <si>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</si>
  <si>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</si>
  <si>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</si>
  <si>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</si>
  <si>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</si>
  <si>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</si>
  <si>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</si>
  <si>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</si>
  <si>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</si>
  <si>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</si>
  <si>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</si>
  <si>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</si>
  <si>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</si>
  <si>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</si>
  <si>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</si>
  <si>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</si>
  <si>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</si>
  <si>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</si>
  <si>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</si>
  <si>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</si>
  <si>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</si>
  <si>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</si>
  <si>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</si>
  <si>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</si>
  <si>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</si>
  <si>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</si>
  <si>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</si>
  <si>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</si>
  <si>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</si>
  <si>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</si>
  <si>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</si>
  <si>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</si>
  <si>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</si>
  <si>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</si>
  <si>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</si>
  <si>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</si>
  <si>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</si>
  <si>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</si>
  <si>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</si>
  <si>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</si>
  <si>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</si>
  <si>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</si>
  <si>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</si>
  <si>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</si>
  <si>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</si>
  <si>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</si>
  <si>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</si>
  <si>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</si>
  <si>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</si>
  <si>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</si>
  <si>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</si>
  <si>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</si>
  <si>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</si>
  <si>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</si>
  <si>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</si>
  <si>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</si>
  <si>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</si>
  <si>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</si>
  <si>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</si>
  <si>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</si>
  <si>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</si>
  <si>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</si>
  <si>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</si>
  <si>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</si>
  <si>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</si>
  <si>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</si>
  <si>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</si>
  <si>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</si>
  <si>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</si>
  <si>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</si>
  <si>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</si>
  <si>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</si>
  <si>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</si>
  <si>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</si>
  <si>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</si>
  <si>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</si>
  <si>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</si>
  <si>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</si>
  <si>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</si>
  <si>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</si>
  <si>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</si>
  <si>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</si>
  <si>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</si>
  <si>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</si>
  <si>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</si>
  <si>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</si>
  <si>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</si>
  <si>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</si>
  <si>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</si>
  <si>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</si>
  <si>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</si>
  <si>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</si>
  <si>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</si>
  <si>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</si>
  <si>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</si>
  <si>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</si>
  <si>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</si>
  <si>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</si>
  <si>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</si>
  <si>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</si>
  <si>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</si>
  <si>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</si>
  <si>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</si>
  <si>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</si>
  <si>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</si>
  <si>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</si>
  <si>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</si>
  <si>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</si>
  <si>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</si>
  <si>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</si>
  <si>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</si>
  <si>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</si>
  <si>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</si>
  <si>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</si>
  <si>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</si>
  <si>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</si>
  <si>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</si>
  <si>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</si>
  <si>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</si>
  <si>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</si>
  <si>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</si>
  <si>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</si>
  <si>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</si>
  <si>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</si>
  <si>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</si>
  <si>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</si>
  <si>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</si>
  <si>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</si>
  <si>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</si>
  <si>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</si>
  <si>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</si>
  <si>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</si>
  <si>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</si>
  <si>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</si>
  <si>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</si>
  <si>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</si>
  <si>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</si>
  <si>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</si>
  <si>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</si>
  <si>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</si>
  <si>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</si>
  <si>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</si>
  <si>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</si>
  <si>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</si>
  <si>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</si>
  <si>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</si>
  <si>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</si>
  <si>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</si>
  <si>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</si>
  <si>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</si>
  <si>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</si>
  <si>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</si>
  <si>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</si>
  <si>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</si>
  <si>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</si>
  <si>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</si>
  <si>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</si>
  <si>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</si>
  <si>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</si>
  <si>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</si>
  <si>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</si>
  <si>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</si>
  <si>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</si>
  <si>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</si>
  <si>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</si>
  <si>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</si>
  <si>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</si>
  <si>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</si>
  <si>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</si>
  <si>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</si>
  <si>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</si>
  <si>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</si>
  <si>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</si>
  <si>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</si>
  <si>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</si>
  <si>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</si>
  <si>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</si>
  <si>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</si>
  <si>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</si>
  <si>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</si>
  <si>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</si>
  <si>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</si>
  <si>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</si>
  <si>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</si>
  <si>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</si>
  <si>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</si>
  <si>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</si>
  <si>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</si>
  <si>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</si>
  <si>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</si>
  <si>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</si>
  <si>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</si>
  <si>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</si>
  <si>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</si>
  <si>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</si>
  <si>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</si>
  <si>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</si>
  <si>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</si>
  <si>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</si>
  <si>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</si>
  <si>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</si>
  <si>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</si>
  <si>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</si>
  <si>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</si>
  <si>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</si>
  <si>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</si>
  <si>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</si>
  <si>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</si>
  <si>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</si>
  <si>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</si>
  <si>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</si>
  <si>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</si>
  <si>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</si>
  <si>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</si>
  <si>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</si>
  <si>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</si>
  <si>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</si>
  <si>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</si>
  <si>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</si>
  <si>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</si>
  <si>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</si>
  <si>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</si>
  <si>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</si>
  <si>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</si>
  <si>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</si>
  <si>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</si>
  <si>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</si>
  <si>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</si>
  <si>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</si>
  <si>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</si>
  <si>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</si>
  <si>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</si>
  <si>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</si>
  <si>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</si>
  <si>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</si>
  <si>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</si>
  <si>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</si>
  <si>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</si>
  <si>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</si>
  <si>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</si>
  <si>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</si>
  <si>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</si>
  <si>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</si>
  <si>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</si>
  <si>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</si>
  <si>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</si>
  <si>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</si>
  <si>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</si>
  <si>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</si>
  <si>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</si>
  <si>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</si>
  <si>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</si>
  <si>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</si>
  <si>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</si>
  <si>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</si>
  <si>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</si>
  <si>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</si>
  <si>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</si>
  <si>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</si>
  <si>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</si>
  <si>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</si>
  <si>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</si>
  <si>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</si>
  <si>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</si>
  <si>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</si>
  <si>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</si>
  <si>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</si>
  <si>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</si>
  <si>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</si>
  <si>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</si>
  <si>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</si>
  <si>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</si>
  <si>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</si>
  <si>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</si>
  <si>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</si>
  <si>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</si>
  <si>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</si>
  <si>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</si>
  <si>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</si>
  <si>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</si>
  <si>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</si>
  <si>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</si>
  <si>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</si>
  <si>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</si>
  <si>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</si>
  <si>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</si>
  <si>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</si>
  <si>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</si>
  <si>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</si>
  <si>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</si>
  <si>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</si>
  <si>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</si>
  <si>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</si>
  <si>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</si>
  <si>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</si>
  <si>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</si>
  <si>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</si>
  <si>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</si>
  <si>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</si>
  <si>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</si>
  <si>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</si>
  <si>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</si>
  <si>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</si>
  <si>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</si>
  <si>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</si>
  <si>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</si>
  <si>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</si>
  <si>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</si>
  <si>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</si>
  <si>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</si>
  <si>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</si>
  <si>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</si>
  <si>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</si>
  <si>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</si>
  <si>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</si>
  <si>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</si>
  <si>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</si>
  <si>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</si>
  <si>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</si>
  <si>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</si>
  <si>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</si>
  <si>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</si>
  <si>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</si>
  <si>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</si>
  <si>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</si>
  <si>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</si>
  <si>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</si>
  <si>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</si>
  <si>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</si>
  <si>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</si>
  <si>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</si>
  <si>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</si>
  <si>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</si>
  <si>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</si>
  <si>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</si>
  <si>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</si>
  <si>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</si>
  <si>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</si>
  <si>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</si>
  <si>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</si>
  <si>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</si>
  <si>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</si>
  <si>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</si>
  <si>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</si>
  <si>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</si>
  <si>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</si>
  <si>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</si>
  <si>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</si>
  <si>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</si>
  <si>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</si>
  <si>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</si>
  <si>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</si>
  <si>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</si>
  <si>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</si>
  <si>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</si>
  <si>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</si>
  <si>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</si>
  <si>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</si>
  <si>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</si>
  <si>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</si>
  <si>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</si>
  <si>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</si>
  <si>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</si>
  <si>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</si>
  <si>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</si>
  <si>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</si>
  <si>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</si>
  <si>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</si>
  <si>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</si>
  <si>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</si>
  <si>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</si>
  <si>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</si>
  <si>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</si>
  <si>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</si>
  <si>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</si>
  <si>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</si>
  <si>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</si>
  <si>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</si>
  <si>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</si>
  <si>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</si>
  <si>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</si>
  <si>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</si>
  <si>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</si>
  <si>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</si>
  <si>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</si>
  <si>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</si>
  <si>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</si>
  <si>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</si>
  <si>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</si>
  <si>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</si>
  <si>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</si>
  <si>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</si>
  <si>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</si>
  <si>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</si>
  <si>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</si>
  <si>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</si>
  <si>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</si>
  <si>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</si>
  <si>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</si>
  <si>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</si>
  <si>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</si>
  <si>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</si>
  <si>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</si>
  <si>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</si>
  <si>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</si>
  <si>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</si>
  <si>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</si>
  <si>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</si>
  <si>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</si>
  <si>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</si>
  <si>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</si>
  <si>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</si>
  <si>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</si>
  <si>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</si>
  <si>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</si>
  <si>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</si>
  <si>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</si>
  <si>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</si>
  <si>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</si>
  <si>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</si>
  <si>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</si>
  <si>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</si>
  <si>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</si>
  <si>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</si>
  <si>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</si>
  <si>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</si>
  <si>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</si>
  <si>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</si>
  <si>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</si>
  <si>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</si>
  <si>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</si>
  <si>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</si>
  <si>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</si>
  <si>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</si>
  <si>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</si>
  <si>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</si>
  <si>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</si>
  <si>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</si>
  <si>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</si>
  <si>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</si>
  <si>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</si>
  <si>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</si>
  <si>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</si>
  <si>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</si>
  <si>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</si>
  <si>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</si>
  <si>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</si>
  <si>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</si>
  <si>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</si>
  <si>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</si>
  <si>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</si>
  <si>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</si>
  <si>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</si>
  <si>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</si>
  <si>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</si>
  <si>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</si>
  <si>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</si>
  <si>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</si>
  <si>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</si>
  <si>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</si>
  <si>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</si>
  <si>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</si>
  <si>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</si>
  <si>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</si>
  <si>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</si>
  <si>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</si>
  <si>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</si>
  <si>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</si>
  <si>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</si>
  <si>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</si>
  <si>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</si>
  <si>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</si>
  <si>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</si>
  <si>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</si>
  <si>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</si>
  <si>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</si>
  <si>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</si>
  <si>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</si>
  <si>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</si>
  <si>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</si>
  <si>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</si>
  <si>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</si>
  <si>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</si>
  <si>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</si>
  <si>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</si>
  <si>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</si>
  <si>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</si>
  <si>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</si>
  <si>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</si>
  <si>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</si>
  <si>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</si>
  <si>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</si>
  <si>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</si>
  <si>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</si>
  <si>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</si>
  <si>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</si>
  <si>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</si>
  <si>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</si>
  <si>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</si>
  <si>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</si>
  <si>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</si>
  <si>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</si>
  <si>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</si>
  <si>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</si>
  <si>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</si>
  <si>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</si>
  <si>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</si>
  <si>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</si>
  <si>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</si>
  <si>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</si>
  <si>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</si>
  <si>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</si>
  <si>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</si>
  <si>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</si>
  <si>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</si>
  <si>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</si>
  <si>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</si>
  <si>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</si>
  <si>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</si>
  <si>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</si>
  <si>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</si>
  <si>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</si>
  <si>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</si>
  <si>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</si>
  <si>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</si>
  <si>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</si>
  <si>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</si>
  <si>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</si>
  <si>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</si>
  <si>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</si>
  <si>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</si>
  <si>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</si>
  <si>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</si>
  <si>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</si>
  <si>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</si>
  <si>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</si>
  <si>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</si>
  <si>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</si>
  <si>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</si>
  <si>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</si>
  <si>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</si>
  <si>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</si>
  <si>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</si>
  <si>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</si>
  <si>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</si>
  <si>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</si>
  <si>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</si>
  <si>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</si>
  <si>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</si>
  <si>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</si>
  <si>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</si>
  <si>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</si>
  <si>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</si>
  <si>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</si>
  <si>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</si>
  <si>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</si>
  <si>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</si>
  <si>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</si>
  <si>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</si>
  <si>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</si>
  <si>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</si>
  <si>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</si>
  <si>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</si>
  <si>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</si>
  <si>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</si>
  <si>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</si>
  <si>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</si>
  <si>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</si>
  <si>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</si>
  <si>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</si>
  <si>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</si>
  <si>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</si>
  <si>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</si>
  <si>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</si>
  <si>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</si>
  <si>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</si>
  <si>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</si>
  <si>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</si>
  <si>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</si>
  <si>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</si>
  <si>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</si>
  <si>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</si>
  <si>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</si>
  <si>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</si>
  <si>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</si>
  <si>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</si>
  <si>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</si>
  <si>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</si>
  <si>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</si>
  <si>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</si>
  <si>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</si>
  <si>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</si>
  <si>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</si>
  <si>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</si>
  <si>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</si>
  <si>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</si>
  <si>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</si>
  <si>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</si>
  <si>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</si>
  <si>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</si>
  <si>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</si>
  <si>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</si>
  <si>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</si>
  <si>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</si>
  <si>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</si>
  <si>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</si>
  <si>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</si>
  <si>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</si>
  <si>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</si>
  <si>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</si>
  <si>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</si>
  <si>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</si>
  <si>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</si>
  <si>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</si>
  <si>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</si>
  <si>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</si>
  <si>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</si>
  <si>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</si>
  <si>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</si>
  <si>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</si>
  <si>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</si>
  <si>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</si>
  <si>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</si>
  <si>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</si>
  <si>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</si>
  <si>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</si>
  <si>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</si>
  <si>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</si>
  <si>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</si>
  <si>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</si>
  <si>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</si>
  <si>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</si>
  <si>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</si>
  <si>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</si>
  <si>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</si>
  <si>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</si>
  <si>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</si>
  <si>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</si>
  <si>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</si>
  <si>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</si>
  <si>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</si>
  <si>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</si>
  <si>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</si>
  <si>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</si>
  <si>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</si>
  <si>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</si>
  <si>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</si>
  <si>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</si>
  <si>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</si>
  <si>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</si>
  <si>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</si>
  <si>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</si>
  <si>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</si>
  <si>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</si>
  <si>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</si>
  <si>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</si>
  <si>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</si>
  <si>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</si>
  <si>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</si>
  <si>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</si>
  <si>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</si>
  <si>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</si>
  <si>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</si>
  <si>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</si>
  <si>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</si>
  <si>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</si>
  <si>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</si>
  <si>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</si>
  <si>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</si>
  <si>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</si>
  <si>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</si>
  <si>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</si>
  <si>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</si>
  <si>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</si>
  <si>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</si>
  <si>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</si>
  <si>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</si>
  <si>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</si>
  <si>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</si>
  <si>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</si>
  <si>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</si>
  <si>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</si>
  <si>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</si>
  <si>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</si>
  <si>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</si>
  <si>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</si>
  <si>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</si>
  <si>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</si>
  <si>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</si>
  <si>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</si>
  <si>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</si>
  <si>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</si>
  <si>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</si>
  <si>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</si>
  <si>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</si>
  <si>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</si>
  <si>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</si>
  <si>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</si>
  <si>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</si>
  <si>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</si>
  <si>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</si>
  <si>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</si>
  <si>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</si>
  <si>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</si>
  <si>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</si>
  <si>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</si>
  <si>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</si>
  <si>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</si>
  <si>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</si>
  <si>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</si>
  <si>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</si>
  <si>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</si>
  <si>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</si>
  <si>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</si>
  <si>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</si>
  <si>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</si>
  <si>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</si>
  <si>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</si>
  <si>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</si>
  <si>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</si>
  <si>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</si>
  <si>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</si>
  <si>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</si>
  <si>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</si>
  <si>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</si>
  <si>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</si>
  <si>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</si>
  <si>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</si>
  <si>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</si>
  <si>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</si>
  <si>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</si>
  <si>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</si>
  <si>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</si>
  <si>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</si>
  <si>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</si>
  <si>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</si>
  <si>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</si>
  <si>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</si>
  <si>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</si>
  <si>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</si>
  <si>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</si>
  <si>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</si>
  <si>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</si>
  <si>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</si>
  <si>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</si>
  <si>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</si>
  <si>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</si>
  <si>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</si>
  <si>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</si>
  <si>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</si>
  <si>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</si>
  <si>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</si>
  <si>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</si>
  <si>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</si>
  <si>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</si>
  <si>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</si>
  <si>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</si>
  <si>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</si>
  <si>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</si>
  <si>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</si>
  <si>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</si>
  <si>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</si>
  <si>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</si>
  <si>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</si>
  <si>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</si>
  <si>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</si>
  <si>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</si>
  <si>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</si>
  <si>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</si>
  <si>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</si>
  <si>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</si>
  <si>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</si>
  <si>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</si>
  <si>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</si>
  <si>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</si>
  <si>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</si>
  <si>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</si>
  <si>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</si>
  <si>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</si>
  <si>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</si>
  <si>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</si>
  <si>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</si>
  <si>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</si>
  <si>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</si>
  <si>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</si>
  <si>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</si>
  <si>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</si>
  <si>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</si>
  <si>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</si>
  <si>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</si>
  <si>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</si>
  <si>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</si>
  <si>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</si>
  <si>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</si>
  <si>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</si>
  <si>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</si>
  <si>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</si>
  <si>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</si>
  <si>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</si>
  <si>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</si>
  <si>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</si>
  <si>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</si>
  <si>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</si>
  <si>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</si>
  <si>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</si>
  <si>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</si>
  <si>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</si>
  <si>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</si>
  <si>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</si>
  <si>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</si>
  <si>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</si>
  <si>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</si>
  <si>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</si>
  <si>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</si>
  <si>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</si>
  <si>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</si>
  <si>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</si>
  <si>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</si>
  <si>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</si>
  <si>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</si>
  <si>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</si>
  <si>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</si>
  <si>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</si>
  <si>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</si>
  <si>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</si>
  <si>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</si>
  <si>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</si>
  <si>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</si>
  <si>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</si>
  <si>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</si>
  <si>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</si>
  <si>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</si>
  <si>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</si>
  <si>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</si>
  <si>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</si>
  <si>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</si>
  <si>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</si>
  <si>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</si>
  <si>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</si>
  <si>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</si>
  <si>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</si>
  <si>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</si>
  <si>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</si>
  <si>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</si>
  <si>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</si>
  <si>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</si>
  <si>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</si>
  <si>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</si>
  <si>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</si>
  <si>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</si>
  <si>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</si>
  <si>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</si>
  <si>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</si>
  <si>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</si>
  <si>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</si>
  <si>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</si>
  <si>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</si>
  <si>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</si>
  <si>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</si>
  <si>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</si>
  <si>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</si>
  <si>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</si>
  <si>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</si>
  <si>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</si>
  <si>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</si>
  <si>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</si>
  <si>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</si>
  <si>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</si>
  <si>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</si>
  <si>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</si>
  <si>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</si>
  <si>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</si>
  <si>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</si>
  <si>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</si>
  <si>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</si>
  <si>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</si>
  <si>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</si>
  <si>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</si>
  <si>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</si>
  <si>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</si>
  <si>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</si>
  <si>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</si>
  <si>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</si>
  <si>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</si>
  <si>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</si>
  <si>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</si>
  <si>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</si>
  <si>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</si>
  <si>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</si>
  <si>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</si>
  <si>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</si>
  <si>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</si>
  <si>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</si>
  <si>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</si>
  <si>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</si>
  <si>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</si>
  <si>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</si>
  <si>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</si>
  <si>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</si>
  <si>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</si>
  <si>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</si>
  <si>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</si>
  <si>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</si>
  <si>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</si>
  <si>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</si>
  <si>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</si>
  <si>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</si>
  <si>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</si>
  <si>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</si>
  <si>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</si>
  <si>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</si>
  <si>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</si>
  <si>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</si>
  <si>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</si>
  <si>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</si>
  <si>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</si>
  <si>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</si>
  <si>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</si>
  <si>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</si>
  <si>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</si>
  <si>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</si>
  <si>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</si>
  <si>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</si>
  <si>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</si>
  <si>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</si>
  <si>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</si>
  <si>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</si>
  <si>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</si>
  <si>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</si>
  <si>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</si>
  <si>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</si>
  <si>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</si>
  <si>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</si>
  <si>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</si>
  <si>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</si>
  <si>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</si>
  <si>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</si>
  <si>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</si>
  <si>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</si>
  <si>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</si>
  <si>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</si>
  <si>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</si>
  <si>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</si>
  <si>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</si>
  <si>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</si>
  <si>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</si>
  <si>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</si>
  <si>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</si>
  <si>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</si>
  <si>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</si>
  <si>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</si>
  <si>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</si>
  <si>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</si>
  <si>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</si>
  <si>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</si>
  <si>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</si>
  <si>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</si>
  <si>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</si>
  <si>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</si>
  <si>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</si>
  <si>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</si>
  <si>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</si>
  <si>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</si>
  <si>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</si>
  <si>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</si>
  <si>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</si>
  <si>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</si>
  <si>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</si>
  <si>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</si>
  <si>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</si>
  <si>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</si>
  <si>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</si>
  <si>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</si>
  <si>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</si>
  <si>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</si>
  <si>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</si>
  <si>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</si>
  <si>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</si>
  <si>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</si>
  <si>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</si>
  <si>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</si>
  <si>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</si>
  <si>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</si>
  <si>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</si>
  <si>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</si>
  <si>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</si>
  <si>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</si>
  <si>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</si>
  <si>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</si>
  <si>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</si>
  <si>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</si>
  <si>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</si>
  <si>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</si>
  <si>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</si>
  <si>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</si>
  <si>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</si>
  <si>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</si>
  <si>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</si>
  <si>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</si>
  <si>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</si>
  <si>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</si>
  <si>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</si>
  <si>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</si>
  <si>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</si>
  <si>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</si>
  <si>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</si>
  <si>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</si>
  <si>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</si>
  <si>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</si>
  <si>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</si>
  <si>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</si>
  <si>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</si>
  <si>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</si>
  <si>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</si>
  <si>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</si>
  <si>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</si>
  <si>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</si>
  <si>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</si>
  <si>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</si>
  <si>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</si>
  <si>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</si>
  <si>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</si>
  <si>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</si>
  <si>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</si>
  <si>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</si>
  <si>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</si>
  <si>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</si>
  <si>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</si>
  <si>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</si>
  <si>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</si>
  <si>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</si>
  <si>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</si>
  <si>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</si>
  <si>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</si>
  <si>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</si>
  <si>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</si>
  <si>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</si>
  <si>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</si>
  <si>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</si>
  <si>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</si>
  <si>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</si>
  <si>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</si>
  <si>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</si>
  <si>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</si>
  <si>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</si>
  <si>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</si>
  <si>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</si>
  <si>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</si>
  <si>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</si>
  <si>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</si>
  <si>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</si>
  <si>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</si>
  <si>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</si>
  <si>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</si>
  <si>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</si>
  <si>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</si>
  <si>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</si>
  <si>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</si>
  <si>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</si>
  <si>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</si>
  <si>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</si>
  <si>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</si>
  <si>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</si>
  <si>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</si>
  <si>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</si>
  <si>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</si>
  <si>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</si>
  <si>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</si>
  <si>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</si>
  <si>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</si>
  <si>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</si>
  <si>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</si>
  <si>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</si>
  <si>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</si>
  <si>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</si>
  <si>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</si>
  <si>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</si>
  <si>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</si>
  <si>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</si>
  <si>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</si>
  <si>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</si>
  <si>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</si>
  <si>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</si>
  <si>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</si>
  <si>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</si>
  <si>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</si>
  <si>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</si>
  <si>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</si>
  <si>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</si>
  <si>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</si>
  <si>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</si>
  <si>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</si>
  <si>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</si>
  <si>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</si>
  <si>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</si>
  <si>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</si>
  <si>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</si>
  <si>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</si>
  <si>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</si>
  <si>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</si>
  <si>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</si>
  <si>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</si>
  <si>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</si>
  <si>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</si>
  <si>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</si>
  <si>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</si>
  <si>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</si>
  <si>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</si>
  <si>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</si>
  <si>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</si>
  <si>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</si>
  <si>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</si>
  <si>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</si>
  <si>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</si>
  <si>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</si>
  <si>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</si>
  <si>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</si>
  <si>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</si>
  <si>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</si>
  <si>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</si>
  <si>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</si>
  <si>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</si>
  <si>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</si>
  <si>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</si>
  <si>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</si>
  <si>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</si>
  <si>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</si>
  <si>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</si>
  <si>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</si>
  <si>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</si>
  <si>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</si>
  <si>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</si>
  <si>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</si>
  <si>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</si>
  <si>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</si>
  <si>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</si>
  <si>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</si>
  <si>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</si>
  <si>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</si>
  <si>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</si>
  <si>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</si>
  <si>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</si>
  <si>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</si>
  <si>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</si>
  <si>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</si>
  <si>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</si>
  <si>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</si>
  <si>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</si>
  <si>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</si>
  <si>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</si>
  <si>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</si>
  <si>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</si>
  <si>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</si>
  <si>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</si>
  <si>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</si>
  <si>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</si>
  <si>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</si>
  <si>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</si>
  <si>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</si>
  <si>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</si>
  <si>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</si>
  <si>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</si>
  <si>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</si>
  <si>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</si>
  <si>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</si>
  <si>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</si>
  <si>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</si>
  <si>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</si>
  <si>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</si>
  <si>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</si>
  <si>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</si>
  <si>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</si>
  <si>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</si>
  <si>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</si>
  <si>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</si>
  <si>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</si>
  <si>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</si>
  <si>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</si>
  <si>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</si>
  <si>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</si>
  <si>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</si>
  <si>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</si>
  <si>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</si>
  <si>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</si>
  <si>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</si>
  <si>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</si>
  <si>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</si>
  <si>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</si>
  <si>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</si>
  <si>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</si>
  <si>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</si>
  <si>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</si>
  <si>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</si>
  <si>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</si>
  <si>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</si>
  <si>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</si>
  <si>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</si>
  <si>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</si>
  <si>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</si>
  <si>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</si>
  <si>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</si>
  <si>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</si>
  <si>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</si>
  <si>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</si>
  <si>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</si>
  <si>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</si>
  <si>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</si>
  <si>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</si>
  <si>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</si>
  <si>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</si>
  <si>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</si>
  <si>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</si>
  <si>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</si>
  <si>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</si>
  <si>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</si>
  <si>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</si>
  <si>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</si>
  <si>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</si>
  <si>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</si>
  <si>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</si>
  <si>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</si>
  <si>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</si>
  <si>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</si>
  <si>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</si>
  <si>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</si>
  <si>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</si>
  <si>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</si>
  <si>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</si>
  <si>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</si>
  <si>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</si>
  <si>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</si>
  <si>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</si>
  <si>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</si>
  <si>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</si>
  <si>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</si>
  <si>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</si>
  <si>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</si>
  <si>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</si>
  <si>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</si>
  <si>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</si>
  <si>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</si>
  <si>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</si>
  <si>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</si>
  <si>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</si>
  <si>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</si>
  <si>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</si>
  <si>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</si>
  <si>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</si>
  <si>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</si>
  <si>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</si>
  <si>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</si>
  <si>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</si>
  <si>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</si>
  <si>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</si>
  <si>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</si>
  <si>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</si>
  <si>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</si>
  <si>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</si>
  <si>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</si>
  <si>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</si>
  <si>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</si>
  <si>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</si>
  <si>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</si>
  <si>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</si>
  <si>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</si>
  <si>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</si>
  <si>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</si>
  <si>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</si>
  <si>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</si>
  <si>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</si>
  <si>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</si>
  <si>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</si>
  <si>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</si>
  <si>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</si>
  <si>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</si>
  <si>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</si>
  <si>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</si>
  <si>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</si>
  <si>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</si>
  <si>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</si>
  <si>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</si>
  <si>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</si>
  <si>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</si>
  <si>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</si>
  <si>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</si>
  <si>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</si>
  <si>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</si>
  <si>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</si>
  <si>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</si>
  <si>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</si>
  <si>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</si>
  <si>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</si>
  <si>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</si>
  <si>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</si>
  <si>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</si>
  <si>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</si>
  <si>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</si>
  <si>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</si>
  <si>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</si>
  <si>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</si>
  <si>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</si>
  <si>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</si>
  <si>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</si>
  <si>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</si>
  <si>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</si>
  <si>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</si>
  <si>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</si>
  <si>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</si>
  <si>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</si>
  <si>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</si>
  <si>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</si>
  <si>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</si>
  <si>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</si>
  <si>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</si>
  <si>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</si>
  <si>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</si>
  <si>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</si>
  <si>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</si>
  <si>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</si>
  <si>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</si>
  <si>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</si>
  <si>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</si>
  <si>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</si>
  <si>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</si>
  <si>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</si>
  <si>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</si>
  <si>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</si>
  <si>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</si>
  <si>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</si>
  <si>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</si>
  <si>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</si>
  <si>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</si>
  <si>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</si>
  <si>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</si>
  <si>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</si>
  <si>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</si>
  <si>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</si>
  <si>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</si>
  <si>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</si>
  <si>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</si>
  <si>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</si>
  <si>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</si>
  <si>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</si>
  <si>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</si>
  <si>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</si>
  <si>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</si>
  <si>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</si>
  <si>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</si>
  <si>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</si>
  <si>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</si>
  <si>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</si>
  <si>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</si>
  <si>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</si>
  <si>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</si>
  <si>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</si>
  <si>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</si>
  <si>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</si>
  <si>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</si>
  <si>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</si>
  <si>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</si>
  <si>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</si>
  <si>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</si>
  <si>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</si>
  <si>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</si>
  <si>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</si>
  <si>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</si>
  <si>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</si>
  <si>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</si>
  <si>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</si>
  <si>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</si>
  <si>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</si>
  <si>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</si>
  <si>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</si>
  <si>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</si>
  <si>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</si>
  <si>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</si>
  <si>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</si>
  <si>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</si>
  <si>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</si>
  <si>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</si>
  <si>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</si>
  <si>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</si>
  <si>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</si>
  <si>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</si>
  <si>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</si>
  <si>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</si>
  <si>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</si>
  <si>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</si>
  <si>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</si>
  <si>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</si>
  <si>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</si>
  <si>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</si>
  <si>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</si>
  <si>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</si>
  <si>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</si>
  <si>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</si>
  <si>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</si>
  <si>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</si>
  <si>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</si>
  <si>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</si>
  <si>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</si>
  <si>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</si>
  <si>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</si>
  <si>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</si>
  <si>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</si>
  <si>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</si>
  <si>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</si>
  <si>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</si>
  <si>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</si>
  <si>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</si>
  <si>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</si>
  <si>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</si>
  <si>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</si>
  <si>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</si>
  <si>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</si>
  <si>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</si>
  <si>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</si>
  <si>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</si>
  <si>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</si>
  <si>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</si>
  <si>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</si>
  <si>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</si>
  <si>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</si>
  <si>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</si>
  <si>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</si>
  <si>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</si>
  <si>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</si>
  <si>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</si>
  <si>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</si>
  <si>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</si>
  <si>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</si>
  <si>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</si>
  <si>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</si>
  <si>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</si>
  <si>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</si>
  <si>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</si>
  <si>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</si>
  <si>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</si>
  <si>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</si>
  <si>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</si>
  <si>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</si>
  <si>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</si>
  <si>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</si>
  <si>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</si>
  <si>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</si>
  <si>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</si>
  <si>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</si>
  <si>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</si>
  <si>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</si>
  <si>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</si>
  <si>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</si>
  <si>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</si>
  <si>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</si>
  <si>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</si>
  <si>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</si>
  <si>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</si>
  <si>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</si>
  <si>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</si>
  <si>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</si>
  <si>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</si>
  <si>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</si>
  <si>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</si>
  <si>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</si>
  <si>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</si>
  <si>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</si>
  <si>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</si>
  <si>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</si>
  <si>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</si>
  <si>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</si>
  <si>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</si>
  <si>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</si>
  <si>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</si>
  <si>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</si>
  <si>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</si>
  <si>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</si>
  <si>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</si>
  <si>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</si>
  <si>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</si>
  <si>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</si>
  <si>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</si>
  <si>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</si>
  <si>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</si>
  <si>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</si>
  <si>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</si>
  <si>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</si>
  <si>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</si>
  <si>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</si>
  <si>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</si>
  <si>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</si>
  <si>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</si>
  <si>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</si>
  <si>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</si>
  <si>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</si>
  <si>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</si>
  <si>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</si>
  <si>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</si>
  <si>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</si>
  <si>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</si>
  <si>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</si>
  <si>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</si>
  <si>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</si>
  <si>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</si>
  <si>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</si>
  <si>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</si>
  <si>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</si>
  <si>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</si>
  <si>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</si>
  <si>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</si>
  <si>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</si>
  <si>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</si>
  <si>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</si>
  <si>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</si>
  <si>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</si>
  <si>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</si>
  <si>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</si>
  <si>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</si>
  <si>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</si>
  <si>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</si>
  <si>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</si>
  <si>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</si>
  <si>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</si>
  <si>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</si>
  <si>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</si>
  <si>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</si>
  <si>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</si>
  <si>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</si>
  <si>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</si>
  <si>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</si>
  <si>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</si>
  <si>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</si>
  <si>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</si>
  <si>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</si>
  <si>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</si>
  <si>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</si>
  <si>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</si>
  <si>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</si>
  <si>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</si>
  <si>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</si>
  <si>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</si>
  <si>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</si>
  <si>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</si>
  <si>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</si>
  <si>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</si>
  <si>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</si>
  <si>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</si>
  <si>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</si>
  <si>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</si>
  <si>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</si>
  <si>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</si>
  <si>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</si>
  <si>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</si>
  <si>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</si>
  <si>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</si>
  <si>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</si>
  <si>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</si>
  <si>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</si>
  <si>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</si>
  <si>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</si>
  <si>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</si>
  <si>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</si>
  <si>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</si>
  <si>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</si>
  <si>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</si>
  <si>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</si>
  <si>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</si>
  <si>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</si>
  <si>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</si>
  <si>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</si>
  <si>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</si>
  <si>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</si>
  <si>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</si>
  <si>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</si>
  <si>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</si>
  <si>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</si>
  <si>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</si>
  <si>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</si>
  <si>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</si>
  <si>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</si>
  <si>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</si>
  <si>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</si>
  <si>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</si>
  <si>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</si>
  <si>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</si>
  <si>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</si>
  <si>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</si>
  <si>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</si>
  <si>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</si>
  <si>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</si>
  <si>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</si>
  <si>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</si>
  <si>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</si>
  <si>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</si>
  <si>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</si>
  <si>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</si>
  <si>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</si>
  <si>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</si>
  <si>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</si>
  <si>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</si>
  <si>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</si>
  <si>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</si>
  <si>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</si>
  <si>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</si>
  <si>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</si>
  <si>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</si>
  <si>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</si>
  <si>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</si>
  <si>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</si>
  <si>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</si>
  <si>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</si>
  <si>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</si>
  <si>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</si>
  <si>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</si>
  <si>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</si>
  <si>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</si>
  <si>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</si>
  <si>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</si>
  <si>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</si>
  <si>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</si>
  <si>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</si>
  <si>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</si>
  <si>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</si>
  <si>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</si>
  <si>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</si>
  <si>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</si>
  <si>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</si>
  <si>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</si>
  <si>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</si>
  <si>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</si>
  <si>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</si>
  <si>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</si>
  <si>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</si>
  <si>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</si>
  <si>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</si>
  <si>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</si>
  <si>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</si>
  <si>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</si>
  <si>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</si>
  <si>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</si>
  <si>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</si>
  <si>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</si>
  <si>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</si>
  <si>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</si>
  <si>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</si>
  <si>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</si>
  <si>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</si>
  <si>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</si>
  <si>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</si>
  <si>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</si>
  <si>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</si>
  <si>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</si>
  <si>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</si>
  <si>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</si>
  <si>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</si>
  <si>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</si>
  <si>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</si>
  <si>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</si>
  <si>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</si>
  <si>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</si>
  <si>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</si>
  <si>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</si>
  <si>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</si>
  <si>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</si>
  <si>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</si>
  <si>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</si>
  <si>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</si>
  <si>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</si>
  <si>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</si>
  <si>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</si>
  <si>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</si>
  <si>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</si>
  <si>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</si>
  <si>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</si>
  <si>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</si>
  <si>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</si>
  <si>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</si>
  <si>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</si>
  <si>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</si>
  <si>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</si>
  <si>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</si>
  <si>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</si>
  <si>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</si>
  <si>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</si>
  <si>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</si>
  <si>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</si>
  <si>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</si>
  <si>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</si>
  <si>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</si>
  <si>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</si>
  <si>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</si>
  <si>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</si>
  <si>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</si>
  <si>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</si>
  <si>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</si>
  <si>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</si>
  <si>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</si>
  <si>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</si>
  <si>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</si>
  <si>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</si>
  <si>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</si>
  <si>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</si>
  <si>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</si>
  <si>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</si>
  <si>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</si>
  <si>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</si>
  <si>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</si>
  <si>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</si>
  <si>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</si>
  <si>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</si>
  <si>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</si>
  <si>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</si>
  <si>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</si>
  <si>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</si>
  <si>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</si>
  <si>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</si>
  <si>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</si>
  <si>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</si>
  <si>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</si>
  <si>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</si>
  <si>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</si>
  <si>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</si>
  <si>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</si>
  <si>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</si>
  <si>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</si>
  <si>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</si>
  <si>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</si>
  <si>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</si>
  <si>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</si>
  <si>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</si>
  <si>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</si>
  <si>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</si>
  <si>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</si>
  <si>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</si>
  <si>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</si>
  <si>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</si>
  <si>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</si>
  <si>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</si>
  <si>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</si>
  <si>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</si>
  <si>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</si>
  <si>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</si>
  <si>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</si>
  <si>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</si>
  <si>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</si>
  <si>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</si>
  <si>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</si>
  <si>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</si>
  <si>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</si>
  <si>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</si>
  <si>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</si>
  <si>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</si>
  <si>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</si>
  <si>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</si>
  <si>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</si>
  <si>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</si>
  <si>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</si>
  <si>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</si>
  <si>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</si>
  <si>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</si>
  <si>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</si>
  <si>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</si>
  <si>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</si>
  <si>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</si>
  <si>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</si>
  <si>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</si>
  <si>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</si>
  <si>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</si>
  <si>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</si>
  <si>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</si>
  <si>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</si>
  <si>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</si>
  <si>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</si>
  <si>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</si>
  <si>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</si>
  <si>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</si>
  <si>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</si>
  <si>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</si>
  <si>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</si>
  <si>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</si>
  <si>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</si>
  <si>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</si>
  <si>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</si>
  <si>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</si>
  <si>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</si>
  <si>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</si>
  <si>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</si>
  <si>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</si>
  <si>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</si>
  <si>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</si>
  <si>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</si>
  <si>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</si>
  <si>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</si>
  <si>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</si>
  <si>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</si>
  <si>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</si>
  <si>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</si>
  <si>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</si>
  <si>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</si>
  <si>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</si>
  <si>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</si>
  <si>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</si>
  <si>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</si>
  <si>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</si>
  <si>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</si>
  <si>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</si>
  <si>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</si>
  <si>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</si>
  <si>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</si>
  <si>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</si>
  <si>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</si>
  <si>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</si>
  <si>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</si>
  <si>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</si>
  <si>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</si>
  <si>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</si>
  <si>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</si>
  <si>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</si>
  <si>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</si>
  <si>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</si>
  <si>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</si>
  <si>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</si>
  <si>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</si>
  <si>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</si>
  <si>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</si>
  <si>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</si>
  <si>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</si>
  <si>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</si>
  <si>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</si>
  <si>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</si>
  <si>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</si>
  <si>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</si>
  <si>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</si>
  <si>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</si>
  <si>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</si>
  <si>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</si>
  <si>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</si>
  <si>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</si>
  <si>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</si>
  <si>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</si>
  <si>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</si>
  <si>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</si>
  <si>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</si>
  <si>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</si>
  <si>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</si>
  <si>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</si>
  <si>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</si>
  <si>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</si>
  <si>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</si>
  <si>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</si>
  <si>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</si>
  <si>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</si>
  <si>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</si>
  <si>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</si>
  <si>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</si>
  <si>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</si>
  <si>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</si>
  <si>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</si>
  <si>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</si>
  <si>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</si>
  <si>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</si>
  <si>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</si>
  <si>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</si>
  <si>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</si>
  <si>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</si>
  <si>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</si>
  <si>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</si>
  <si>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</si>
  <si>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</si>
  <si>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</si>
  <si>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</si>
  <si>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</si>
  <si>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</si>
  <si>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</si>
  <si>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</si>
  <si>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</si>
  <si>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</si>
  <si>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</si>
  <si>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</si>
  <si>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</si>
  <si>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</si>
  <si>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</si>
  <si>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</si>
  <si>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</si>
  <si>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</si>
  <si>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</si>
  <si>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</si>
  <si>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</si>
  <si>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</si>
  <si>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</si>
  <si>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</si>
  <si>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</si>
  <si>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</si>
  <si>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</si>
  <si>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</si>
  <si>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</si>
  <si>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</si>
  <si>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</si>
  <si>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</si>
  <si>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</si>
  <si>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</si>
  <si>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</si>
  <si>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</si>
  <si>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</si>
  <si>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</si>
  <si>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</si>
  <si>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</si>
  <si>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</si>
  <si>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</si>
  <si>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</si>
  <si>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</si>
  <si>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</si>
  <si>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</si>
  <si>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</si>
  <si>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</si>
  <si>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</si>
  <si>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</si>
  <si>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</si>
  <si>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</si>
  <si>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</si>
  <si>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</si>
  <si>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</si>
  <si>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</si>
  <si>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</si>
  <si>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</si>
  <si>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</si>
  <si>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</si>
  <si>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</si>
  <si>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</si>
  <si>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</si>
  <si>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</si>
  <si>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</si>
  <si>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</si>
  <si>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</si>
  <si>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</si>
  <si>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</si>
  <si>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</si>
  <si>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</si>
  <si>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</si>
  <si>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</si>
  <si>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</si>
  <si>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</si>
  <si>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</si>
  <si>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</si>
  <si>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</si>
  <si>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</si>
  <si>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</si>
  <si>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</si>
  <si>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</si>
  <si>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</si>
  <si>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</si>
  <si>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</si>
  <si>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</si>
  <si>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</si>
  <si>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</si>
  <si>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</si>
  <si>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</si>
  <si>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</si>
  <si>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</si>
  <si>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</si>
  <si>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</si>
  <si>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</si>
  <si>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</si>
  <si>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</si>
  <si>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</si>
  <si>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</si>
  <si>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</si>
  <si>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</si>
  <si>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</si>
  <si>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</si>
  <si>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</si>
  <si>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</si>
  <si>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</si>
  <si>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</si>
  <si>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</si>
  <si>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</si>
  <si>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</si>
  <si>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</si>
  <si>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</si>
  <si>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</si>
  <si>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</si>
  <si>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</si>
  <si>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</si>
  <si>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</si>
  <si>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</si>
  <si>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</si>
  <si>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</si>
  <si>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</si>
  <si>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</si>
  <si>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</si>
  <si>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</si>
  <si>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</si>
  <si>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</si>
  <si>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</si>
  <si>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</si>
  <si>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</si>
  <si>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</si>
  <si>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</si>
  <si>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</si>
  <si>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</si>
  <si>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</si>
  <si>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</si>
  <si>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</si>
  <si>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</si>
  <si>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</si>
  <si>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</si>
  <si>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</si>
  <si>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</si>
  <si>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</si>
  <si>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</si>
  <si>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</si>
  <si>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</si>
  <si>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</si>
  <si>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</si>
  <si>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</si>
  <si>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</si>
  <si>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</si>
  <si>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</si>
  <si>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</si>
  <si>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</si>
  <si>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</si>
  <si>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</si>
  <si>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</si>
  <si>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</si>
  <si>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</si>
  <si>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</si>
  <si>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</si>
  <si>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</si>
  <si>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</si>
  <si>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</si>
  <si>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</si>
  <si>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</si>
  <si>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</si>
  <si>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</si>
  <si>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</si>
  <si>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</si>
  <si>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</si>
  <si>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</si>
  <si>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</si>
  <si>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</si>
  <si>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</si>
  <si>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</si>
  <si>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</si>
  <si>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</si>
  <si>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</si>
  <si>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</si>
  <si>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</si>
  <si>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</si>
  <si>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</si>
  <si>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</si>
  <si>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</si>
  <si>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</si>
  <si>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</si>
  <si>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</si>
  <si>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</si>
  <si>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</si>
  <si>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</si>
  <si>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</si>
  <si>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</si>
  <si>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</si>
  <si>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</si>
  <si>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</si>
  <si>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</si>
  <si>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</si>
  <si>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</si>
  <si>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</si>
  <si>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</si>
  <si>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</si>
  <si>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</si>
  <si>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</si>
  <si>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</si>
  <si>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</si>
  <si>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</si>
  <si>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</si>
  <si>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</si>
  <si>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</si>
  <si>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</si>
  <si>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</si>
  <si>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</si>
  <si>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</si>
  <si>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</si>
  <si>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</si>
  <si>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</si>
  <si>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</si>
  <si>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</si>
  <si>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</si>
  <si>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</si>
  <si>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</si>
  <si>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</si>
  <si>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</si>
  <si>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</si>
  <si>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</si>
  <si>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</si>
  <si>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</si>
  <si>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</si>
  <si>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</si>
  <si>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</si>
  <si>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</si>
  <si>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</si>
  <si>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</si>
  <si>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</si>
  <si>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</si>
  <si>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</si>
  <si>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</si>
  <si>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</si>
  <si>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</si>
  <si>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</si>
  <si>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</si>
  <si>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</si>
  <si>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</si>
  <si>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</si>
  <si>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</si>
  <si>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</si>
  <si>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</si>
  <si>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</si>
  <si>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</si>
  <si>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</si>
  <si>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</si>
  <si>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</si>
  <si>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</si>
  <si>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</si>
  <si>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</si>
  <si>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</si>
  <si>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</si>
  <si>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</si>
  <si>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</si>
  <si>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</si>
  <si>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</si>
  <si>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</si>
  <si>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</si>
  <si>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</si>
  <si>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</si>
  <si>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</si>
  <si>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</si>
  <si>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</si>
  <si>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</si>
  <si>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</si>
  <si>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</si>
  <si>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</si>
  <si>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</si>
  <si>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</si>
  <si>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</si>
  <si>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</si>
  <si>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</si>
  <si>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</si>
  <si>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</si>
  <si>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</si>
  <si>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</si>
  <si>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</si>
  <si>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</si>
  <si>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</si>
  <si>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</si>
  <si>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</si>
  <si>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</si>
  <si>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</si>
  <si>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</si>
  <si>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</si>
  <si>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</si>
  <si>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</si>
  <si>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</si>
  <si>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</si>
  <si>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</si>
  <si>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</si>
  <si>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</si>
  <si>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</si>
  <si>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</si>
  <si>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</si>
  <si>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</si>
  <si>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</si>
  <si>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</si>
  <si>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</si>
  <si>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</si>
  <si>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</si>
  <si>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</si>
  <si>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</si>
  <si>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</si>
  <si>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</si>
  <si>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</si>
  <si>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</si>
  <si>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</si>
  <si>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</si>
  <si>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</si>
  <si>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</si>
  <si>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</si>
  <si>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</si>
  <si>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</si>
  <si>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</si>
  <si>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</si>
  <si>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</si>
  <si>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</si>
  <si>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</si>
  <si>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</si>
  <si>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</si>
  <si>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</si>
  <si>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</si>
  <si>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</si>
  <si>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</si>
  <si>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</si>
  <si>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</si>
  <si>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</si>
  <si>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</si>
  <si>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</si>
  <si>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</si>
  <si>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</si>
  <si>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</si>
  <si>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</si>
  <si>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</si>
  <si>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</si>
  <si>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</si>
  <si>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</si>
  <si>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</si>
  <si>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</si>
  <si>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</si>
  <si>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</si>
  <si>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</si>
  <si>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</si>
  <si>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</si>
  <si>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</si>
  <si>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</si>
  <si>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</si>
  <si>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</si>
  <si>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</si>
  <si>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</si>
  <si>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</si>
  <si>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</si>
  <si>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</si>
  <si>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</si>
  <si>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</si>
  <si>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</si>
  <si>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</si>
  <si>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</si>
  <si>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</si>
  <si>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</si>
  <si>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</si>
  <si>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</si>
  <si>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</si>
  <si>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</si>
  <si>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</si>
  <si>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</si>
  <si>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</si>
  <si>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</si>
  <si>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</si>
  <si>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</si>
  <si>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</si>
  <si>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</si>
  <si>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</si>
  <si>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</si>
  <si>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</si>
  <si>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</si>
  <si>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</si>
  <si>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</si>
  <si>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</si>
  <si>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</si>
  <si>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</si>
  <si>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</si>
  <si>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</si>
  <si>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</si>
  <si>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</si>
  <si>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</si>
  <si>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</si>
  <si>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</si>
  <si>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</si>
  <si>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</si>
  <si>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</si>
  <si>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</si>
  <si>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</si>
  <si>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</si>
  <si>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</si>
  <si>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</si>
  <si>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</si>
  <si>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</si>
  <si>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</si>
  <si>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</si>
  <si>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</si>
  <si>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</si>
  <si>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</si>
  <si>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</si>
  <si>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</si>
  <si>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</si>
  <si>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</si>
  <si>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</si>
  <si>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</si>
  <si>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</si>
  <si>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</si>
  <si>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</si>
  <si>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</si>
  <si>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</si>
  <si>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</si>
  <si>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</si>
  <si>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</si>
  <si>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</si>
  <si>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</si>
  <si>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</si>
  <si>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</si>
  <si>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</si>
  <si>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</si>
  <si>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</si>
  <si>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</si>
  <si>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</si>
  <si>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</si>
  <si>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</si>
  <si>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</si>
  <si>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</si>
  <si>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</si>
  <si>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</si>
  <si>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</si>
  <si>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</si>
  <si>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</si>
  <si>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</si>
  <si>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</si>
  <si>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</si>
  <si>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</si>
  <si>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</si>
  <si>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</si>
  <si>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</si>
  <si>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</si>
  <si>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</si>
  <si>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</si>
  <si>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</si>
  <si>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</si>
  <si>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</si>
  <si>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</si>
  <si>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</si>
  <si>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</si>
  <si>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</si>
  <si>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</si>
  <si>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</si>
  <si>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</si>
  <si>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</si>
  <si>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</si>
  <si>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</si>
  <si>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</si>
  <si>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</si>
  <si>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</si>
  <si>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</si>
  <si>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</si>
  <si>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</si>
  <si>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</si>
  <si>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</si>
  <si>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</si>
  <si>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</si>
  <si>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</si>
  <si>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</si>
  <si>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</si>
  <si>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</si>
  <si>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</si>
  <si>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</si>
  <si>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</si>
  <si>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</si>
  <si>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</si>
  <si>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</si>
  <si>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</si>
  <si>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</si>
  <si>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</si>
  <si>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</si>
  <si>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</si>
  <si>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</si>
  <si>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</si>
  <si>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</si>
  <si>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</si>
  <si>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</si>
  <si>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</si>
  <si>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</si>
  <si>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</si>
  <si>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</si>
  <si>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</si>
  <si>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</si>
  <si>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</si>
  <si>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</si>
  <si>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</si>
  <si>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</si>
  <si>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</si>
  <si>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</si>
  <si>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</si>
  <si>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</si>
  <si>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</si>
  <si>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</si>
  <si>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</si>
  <si>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</si>
  <si>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</si>
  <si>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</si>
  <si>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</si>
  <si>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</si>
  <si>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</si>
  <si>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</si>
  <si>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</si>
  <si>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</si>
  <si>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</si>
  <si>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</si>
  <si>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</si>
  <si>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</si>
  <si>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</si>
  <si>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</si>
  <si>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</si>
  <si>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</si>
  <si>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</si>
  <si>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</si>
  <si>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</si>
  <si>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</si>
  <si>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</si>
  <si>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</si>
  <si>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</si>
  <si>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</si>
  <si>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</si>
  <si>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</si>
  <si>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</si>
  <si>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</si>
  <si>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</si>
  <si>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</si>
  <si>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</si>
  <si>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</si>
  <si>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</si>
  <si>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</si>
  <si>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</si>
  <si>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</si>
  <si>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</si>
  <si>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</si>
  <si>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</si>
  <si>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</si>
  <si>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</si>
  <si>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</si>
  <si>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</si>
  <si>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</si>
  <si>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</si>
  <si>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</si>
  <si>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</si>
  <si>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</si>
  <si>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</si>
  <si>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</si>
  <si>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</si>
  <si>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</si>
  <si>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</si>
  <si>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</si>
  <si>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</si>
  <si>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</si>
  <si>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</si>
  <si>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</si>
  <si>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</si>
  <si>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</si>
  <si>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</si>
  <si>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</si>
  <si>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</si>
  <si>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</si>
  <si>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</si>
  <si>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</si>
  <si>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</si>
  <si>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</si>
  <si>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</si>
  <si>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</si>
  <si>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</si>
  <si>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</si>
  <si>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</si>
  <si>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</si>
  <si>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</si>
  <si>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</si>
  <si>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</si>
  <si>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</si>
  <si>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</si>
  <si>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</si>
  <si>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</si>
  <si>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</si>
  <si>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</si>
  <si>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</si>
  <si>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</si>
  <si>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</si>
  <si>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</si>
  <si>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</si>
  <si>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</si>
  <si>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</si>
  <si>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</si>
  <si>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</si>
  <si>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</si>
  <si>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</si>
  <si>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</si>
  <si>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</si>
  <si>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</si>
  <si>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</si>
  <si>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</si>
  <si>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</si>
  <si>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</si>
  <si>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</si>
  <si>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</si>
  <si>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</si>
  <si>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</si>
  <si>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</si>
  <si>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</si>
  <si>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</si>
  <si>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</si>
  <si>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</si>
  <si>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</si>
  <si>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</si>
  <si>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</si>
  <si>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</si>
  <si>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</si>
  <si>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</si>
  <si>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</si>
  <si>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</si>
  <si>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</si>
  <si>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</si>
  <si>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</si>
  <si>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</si>
  <si>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</si>
  <si>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</si>
  <si>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</si>
  <si>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</si>
  <si>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</si>
  <si>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</si>
  <si>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</si>
  <si>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</si>
  <si>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</si>
  <si>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</si>
  <si>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</si>
  <si>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</si>
  <si>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</si>
  <si>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</si>
  <si>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</si>
  <si>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</si>
  <si>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</si>
  <si>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</si>
  <si>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</si>
  <si>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</si>
  <si>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</si>
  <si>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</si>
  <si>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</si>
  <si>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</si>
  <si>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</si>
  <si>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</si>
  <si>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</si>
  <si>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</si>
  <si>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</si>
  <si>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</si>
  <si>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</si>
  <si>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</si>
  <si>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</si>
  <si>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</si>
  <si>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</si>
  <si>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</si>
  <si>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</si>
  <si>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</si>
  <si>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</si>
  <si>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</si>
  <si>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</si>
  <si>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</si>
  <si>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</si>
  <si>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</si>
  <si>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</si>
  <si>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</si>
  <si>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</si>
  <si>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</si>
  <si>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</si>
  <si>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</si>
  <si>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</si>
  <si>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</si>
  <si>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</si>
  <si>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</si>
  <si>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</si>
  <si>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</si>
  <si>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</si>
  <si>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</si>
  <si>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</si>
  <si>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</si>
  <si>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</si>
  <si>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</si>
  <si>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</si>
  <si>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</si>
  <si>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</si>
  <si>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</si>
  <si>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</si>
  <si>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</si>
  <si>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</si>
  <si>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</si>
  <si>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</si>
  <si>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</si>
  <si>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</si>
  <si>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</si>
  <si>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</si>
  <si>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</si>
  <si>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</si>
  <si>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</si>
  <si>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</si>
  <si>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</si>
  <si>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</si>
  <si>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</si>
  <si>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</si>
  <si>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</si>
  <si>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</si>
  <si>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</si>
  <si>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</si>
  <si>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</si>
  <si>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</si>
  <si>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</si>
  <si>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</si>
  <si>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</si>
  <si>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</si>
  <si>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</si>
  <si>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</si>
  <si>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</si>
  <si>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</si>
  <si>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</si>
  <si>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</si>
  <si>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</si>
  <si>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</si>
  <si>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</si>
  <si>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</si>
  <si>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</si>
  <si>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</si>
  <si>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</si>
  <si>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</si>
  <si>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</si>
  <si>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</si>
  <si>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</si>
  <si>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</si>
  <si>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</si>
  <si>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</si>
  <si>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</si>
  <si>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</si>
  <si>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</si>
  <si>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</si>
  <si>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</si>
  <si>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</si>
  <si>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</si>
  <si>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</si>
  <si>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</si>
  <si>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</si>
  <si>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</si>
  <si>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</si>
  <si>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</si>
  <si>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</si>
  <si>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</si>
  <si>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</si>
  <si>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</si>
  <si>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</si>
  <si>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</si>
  <si>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</si>
  <si>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</si>
  <si>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</si>
  <si>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</si>
  <si>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</si>
  <si>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</si>
  <si>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</si>
  <si>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</si>
  <si>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</si>
  <si>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</si>
  <si>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</si>
  <si>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</si>
  <si>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</si>
  <si>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</si>
  <si>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</si>
  <si>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</si>
  <si>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</si>
  <si>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</si>
  <si>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</si>
  <si>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</si>
  <si>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</si>
  <si>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</si>
  <si>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</si>
  <si>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</si>
  <si>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</si>
  <si>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</si>
  <si>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</si>
  <si>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</si>
  <si>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</si>
  <si>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</si>
  <si>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</si>
  <si>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</si>
  <si>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</si>
  <si>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</si>
  <si>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</si>
  <si>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</si>
  <si>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</si>
  <si>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</si>
  <si>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</si>
  <si>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</si>
  <si>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</si>
  <si>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</si>
  <si>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</si>
  <si>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</si>
  <si>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</si>
  <si>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</si>
  <si>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</si>
  <si>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</si>
  <si>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</si>
  <si>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</si>
  <si>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</si>
  <si>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</si>
  <si>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</si>
  <si>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</si>
  <si>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</si>
  <si>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</si>
  <si>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</si>
  <si>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</si>
  <si>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</si>
  <si>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</si>
  <si>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</si>
  <si>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</si>
  <si>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</si>
  <si>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</si>
  <si>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</si>
  <si>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</si>
  <si>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</si>
  <si>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</si>
  <si>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</si>
  <si>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</si>
  <si>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</si>
  <si>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</si>
  <si>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</si>
  <si>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</si>
  <si>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</si>
  <si>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</si>
  <si>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</si>
  <si>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</si>
  <si>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</si>
  <si>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</si>
  <si>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</si>
  <si>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</si>
  <si>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</si>
  <si>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</si>
  <si>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</si>
  <si>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</si>
  <si>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</si>
  <si>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</si>
  <si>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</si>
  <si>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</si>
  <si>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</si>
  <si>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</si>
  <si>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</si>
  <si>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</si>
  <si>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</si>
  <si>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</si>
  <si>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</si>
  <si>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</si>
  <si>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</si>
  <si>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</si>
  <si>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</si>
  <si>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</si>
  <si>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</si>
  <si>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</si>
  <si>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</si>
  <si>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</si>
  <si>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</si>
  <si>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</si>
  <si>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</si>
  <si>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</si>
  <si>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</si>
  <si>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</si>
  <si>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</si>
  <si>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</si>
  <si>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</si>
  <si>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</si>
  <si>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</si>
  <si>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</si>
  <si>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</si>
  <si>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</si>
  <si>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</si>
  <si>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</si>
  <si>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</si>
  <si>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</si>
  <si>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</si>
  <si>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</si>
  <si>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</si>
  <si>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</si>
  <si>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</si>
  <si>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</si>
  <si>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</si>
  <si>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</si>
  <si>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</si>
  <si>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</si>
  <si>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</si>
  <si>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</si>
  <si>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</si>
  <si>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</si>
  <si>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</si>
  <si>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</si>
  <si>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</si>
  <si>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</si>
  <si>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</si>
  <si>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</si>
  <si>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</si>
  <si>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</si>
  <si>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</si>
  <si>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</si>
  <si>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</si>
  <si>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</si>
  <si>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</si>
  <si>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</si>
  <si>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</si>
  <si>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</si>
  <si>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</si>
  <si>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</si>
  <si>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</si>
  <si>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</si>
  <si>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</si>
  <si>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</si>
  <si>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</si>
  <si>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</si>
  <si>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</si>
  <si>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</si>
  <si>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</si>
  <si>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</si>
  <si>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</si>
  <si>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</si>
  <si>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</si>
  <si>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</si>
  <si>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</si>
  <si>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</si>
  <si>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</si>
  <si>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</si>
  <si>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</si>
  <si>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</si>
  <si>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</si>
  <si>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</si>
  <si>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</si>
  <si>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</si>
  <si>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</si>
  <si>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</si>
  <si>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</si>
  <si>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</si>
  <si>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</si>
  <si>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</si>
  <si>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</si>
  <si>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</si>
  <si>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</si>
  <si>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</si>
  <si>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</si>
  <si>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</si>
  <si>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</si>
  <si>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</si>
  <si>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</si>
  <si>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</si>
  <si>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</si>
  <si>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</si>
  <si>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</si>
  <si>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</si>
  <si>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</si>
  <si>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</si>
  <si>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</si>
  <si>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</si>
  <si>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</si>
  <si>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</si>
  <si>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</si>
  <si>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</si>
  <si>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</si>
  <si>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</si>
  <si>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</si>
  <si>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</si>
  <si>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</si>
  <si>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</si>
  <si>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</si>
  <si>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</si>
  <si>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</si>
  <si>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</si>
  <si>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</si>
  <si>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</si>
  <si>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</si>
  <si>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</si>
  <si>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</si>
  <si>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</si>
  <si>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</si>
  <si>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</si>
  <si>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</si>
  <si>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</si>
  <si>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</si>
  <si>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</si>
  <si>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</si>
  <si>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</si>
  <si>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</si>
  <si>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</si>
  <si>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</si>
  <si>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</si>
  <si>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</si>
  <si>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</si>
  <si>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</si>
  <si>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</si>
  <si>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</si>
  <si>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</si>
  <si>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</si>
  <si>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</si>
  <si>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</si>
  <si>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</si>
  <si>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</si>
  <si>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</si>
  <si>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</si>
  <si>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</si>
  <si>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</si>
  <si>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</si>
  <si>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</si>
  <si>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</si>
  <si>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</si>
  <si>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</si>
  <si>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</si>
  <si>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</si>
  <si>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</si>
  <si>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</si>
  <si>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</si>
  <si>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</si>
  <si>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</si>
  <si>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</si>
  <si>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</si>
  <si>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</si>
  <si>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</si>
  <si>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</si>
  <si>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</si>
  <si>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</si>
  <si>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</si>
  <si>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</si>
  <si>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</si>
  <si>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</si>
  <si>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</si>
  <si>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</si>
  <si>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</si>
  <si>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</si>
  <si>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</si>
  <si>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</si>
  <si>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</si>
  <si>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</si>
  <si>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</si>
  <si>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</si>
  <si>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</si>
  <si>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</si>
  <si>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</si>
  <si>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</si>
  <si>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</si>
  <si>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</si>
  <si>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</si>
  <si>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</si>
  <si>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</si>
  <si>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</si>
  <si>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</si>
  <si>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</si>
  <si>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</si>
  <si>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</si>
  <si>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</si>
  <si>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</si>
  <si>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</si>
  <si>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</si>
  <si>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</si>
  <si>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</si>
  <si>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</si>
  <si>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</si>
  <si>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</si>
  <si>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</si>
  <si>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</si>
  <si>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</si>
  <si>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</si>
  <si>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</si>
  <si>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</si>
  <si>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</si>
  <si>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</si>
  <si>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</si>
  <si>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</si>
  <si>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</si>
  <si>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</si>
  <si>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</si>
  <si>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</si>
  <si>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</si>
  <si>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</si>
  <si>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</si>
  <si>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</si>
  <si>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</si>
  <si>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</si>
  <si>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</si>
  <si>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</si>
  <si>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</si>
  <si>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</si>
  <si>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</si>
  <si>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</si>
  <si>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</si>
  <si>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</si>
  <si>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</si>
  <si>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</si>
  <si>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</si>
  <si>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</si>
  <si>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</si>
  <si>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</si>
  <si>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</si>
  <si>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</si>
  <si>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</si>
  <si>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</si>
  <si>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</si>
  <si>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</si>
  <si>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</si>
  <si>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</si>
  <si>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</si>
  <si>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</si>
  <si>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</si>
  <si>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</si>
  <si>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</si>
  <si>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</si>
  <si>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</si>
  <si>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</si>
  <si>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</si>
  <si>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</si>
  <si>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</si>
  <si>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</si>
  <si>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</si>
  <si>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</si>
  <si>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</si>
  <si>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</si>
  <si>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</si>
  <si>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</si>
  <si>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</si>
  <si>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</si>
  <si>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</si>
  <si>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</si>
  <si>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</si>
  <si>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</si>
  <si>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</si>
  <si>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</si>
  <si>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</si>
  <si>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</si>
  <si>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</si>
  <si>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</si>
  <si>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</si>
  <si>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</si>
  <si>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</si>
  <si>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</si>
  <si>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</si>
  <si>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</si>
  <si>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</si>
  <si>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</si>
  <si>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</si>
  <si>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</si>
  <si>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</si>
  <si>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</si>
  <si>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</si>
  <si>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</si>
  <si>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</si>
  <si>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</si>
  <si>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</si>
  <si>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</si>
  <si>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</si>
  <si>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</si>
  <si>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</si>
  <si>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</si>
  <si>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</si>
  <si>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</si>
  <si>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</si>
  <si>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</si>
  <si>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</si>
  <si>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</si>
  <si>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</si>
  <si>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</si>
  <si>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</si>
  <si>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</si>
  <si>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</si>
  <si>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</si>
  <si>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</si>
  <si>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</si>
  <si>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</si>
  <si>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</si>
  <si>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</si>
  <si>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</si>
  <si>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</si>
  <si>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</si>
  <si>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</si>
  <si>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</si>
  <si>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</si>
  <si>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</si>
  <si>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</si>
  <si>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</si>
  <si>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</si>
  <si>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</si>
  <si>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</si>
  <si>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</si>
  <si>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</si>
  <si>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</si>
  <si>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</si>
  <si>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</si>
  <si>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</si>
  <si>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</si>
  <si>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</si>
  <si>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</si>
  <si>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</si>
  <si>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</si>
  <si>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</si>
  <si>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</si>
  <si>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</si>
  <si>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</si>
  <si>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</si>
  <si>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</si>
  <si>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</si>
  <si>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</si>
  <si>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</si>
  <si>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</si>
  <si>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</si>
  <si>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</si>
  <si>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</si>
  <si>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</si>
  <si>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</si>
  <si>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</si>
  <si>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</si>
  <si>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</si>
  <si>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</si>
  <si>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</si>
  <si>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</si>
  <si>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</si>
  <si>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</si>
  <si>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</si>
  <si>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</si>
  <si>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</si>
  <si>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</si>
  <si>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</si>
  <si>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</si>
  <si>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</si>
  <si>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</si>
  <si>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</si>
  <si>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</si>
  <si>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</si>
  <si>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</si>
  <si>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</si>
  <si>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</si>
  <si>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</si>
  <si>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</si>
  <si>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</si>
  <si>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</si>
  <si>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</si>
  <si>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</si>
  <si>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</si>
  <si>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</si>
  <si>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</si>
  <si>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</si>
  <si>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</si>
  <si>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</si>
  <si>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</si>
  <si>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</si>
  <si>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</si>
  <si>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</si>
  <si>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</si>
  <si>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</si>
  <si>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</si>
  <si>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</si>
  <si>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</si>
  <si>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</si>
  <si>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</si>
  <si>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</si>
  <si>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</si>
  <si>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</si>
  <si>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</si>
  <si>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</si>
  <si>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</si>
  <si>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</si>
  <si>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</si>
  <si>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</si>
  <si>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</si>
  <si>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</si>
  <si>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</si>
  <si>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</si>
  <si>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</si>
  <si>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</si>
  <si>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</si>
  <si>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</si>
  <si>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</si>
  <si>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</si>
  <si>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</si>
  <si>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</si>
  <si>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</si>
  <si>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</si>
  <si>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</si>
  <si>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</si>
  <si>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</si>
  <si>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</si>
  <si>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</si>
  <si>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</si>
  <si>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</si>
  <si>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</si>
  <si>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</si>
  <si>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</si>
  <si>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</si>
  <si>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</si>
  <si>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</si>
  <si>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</si>
  <si>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</si>
  <si>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</si>
  <si>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</si>
  <si>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</si>
  <si>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</si>
  <si>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</si>
  <si>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</si>
  <si>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</si>
  <si>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</si>
  <si>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</si>
  <si>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</si>
  <si>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</si>
  <si>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</si>
  <si>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</si>
  <si>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</si>
  <si>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</si>
  <si>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</si>
  <si>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</si>
  <si>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</si>
  <si>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</si>
  <si>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</si>
  <si>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</si>
  <si>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</si>
  <si>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</si>
  <si>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</si>
  <si>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</si>
  <si>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</si>
  <si>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</si>
  <si>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</si>
  <si>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</si>
  <si>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</si>
  <si>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</si>
  <si>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</si>
  <si>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</si>
  <si>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</si>
  <si>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</si>
  <si>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</si>
  <si>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</si>
  <si>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</si>
  <si>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</si>
  <si>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</si>
  <si>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</si>
  <si>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</si>
  <si>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</si>
  <si>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</si>
  <si>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</si>
  <si>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</si>
  <si>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</si>
  <si>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</si>
  <si>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</si>
  <si>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</si>
  <si>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</si>
  <si>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</si>
  <si>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</si>
  <si>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</si>
  <si>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</si>
  <si>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</si>
  <si>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</si>
  <si>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</si>
  <si>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</si>
  <si>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</si>
  <si>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</si>
  <si>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</si>
  <si>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</si>
  <si>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</si>
  <si>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</si>
  <si>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</si>
  <si>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</si>
  <si>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</si>
  <si>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</si>
  <si>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</si>
  <si>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</si>
  <si>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</si>
  <si>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</si>
  <si>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</si>
  <si>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</si>
  <si>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</si>
  <si>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</si>
  <si>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</si>
  <si>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</si>
  <si>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</si>
  <si>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</si>
  <si>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</si>
  <si>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</si>
  <si>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</si>
  <si>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</si>
  <si>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</si>
  <si>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</si>
  <si>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</si>
  <si>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</si>
  <si>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</si>
  <si>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</si>
  <si>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</si>
  <si>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</si>
  <si>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</si>
  <si>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</si>
  <si>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</si>
  <si>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</si>
  <si>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</si>
  <si>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</si>
  <si>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</si>
  <si>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</si>
  <si>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</si>
  <si>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</si>
  <si>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</si>
  <si>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</si>
  <si>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</si>
  <si>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</si>
  <si>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</si>
  <si>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</si>
  <si>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</si>
  <si>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</si>
  <si>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</si>
  <si>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</si>
  <si>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</si>
  <si>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</si>
  <si>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</si>
  <si>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</si>
  <si>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</si>
  <si>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</si>
  <si>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</si>
  <si>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</si>
  <si>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</si>
  <si>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</si>
  <si>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</si>
  <si>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</si>
  <si>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</si>
  <si>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</si>
  <si>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</si>
  <si>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</si>
  <si>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</si>
  <si>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</si>
  <si>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</si>
  <si>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</si>
  <si>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</si>
  <si>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</si>
  <si>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</si>
  <si>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</si>
  <si>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</si>
  <si>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</si>
  <si>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</si>
  <si>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</si>
  <si>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</si>
  <si>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</si>
  <si>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</si>
  <si>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</si>
  <si>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</si>
  <si>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</si>
  <si>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</si>
  <si>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</si>
  <si>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</si>
  <si>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</si>
  <si>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</si>
  <si>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</si>
  <si>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</si>
  <si>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</si>
  <si>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</si>
  <si>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</si>
  <si>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</si>
  <si>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</si>
  <si>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</si>
  <si>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</si>
  <si>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</si>
  <si>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</si>
  <si>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</si>
  <si>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</si>
  <si>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</si>
  <si>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</si>
  <si>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</si>
  <si>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</si>
  <si>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</si>
  <si>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</si>
  <si>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</si>
  <si>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</si>
  <si>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</si>
  <si>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</si>
  <si>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</si>
  <si>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</si>
  <si>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</si>
  <si>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</si>
  <si>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</si>
  <si>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</si>
  <si>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</si>
  <si>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</si>
  <si>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</si>
  <si>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</si>
  <si>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</si>
  <si>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</si>
  <si>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</si>
  <si>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</si>
  <si>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</si>
  <si>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</si>
  <si>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</si>
  <si>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</si>
  <si>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</si>
  <si>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</si>
  <si>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</si>
  <si>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</si>
  <si>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</si>
  <si>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</si>
  <si>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</si>
  <si>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</si>
  <si>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</si>
  <si>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</si>
  <si>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</si>
  <si>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</si>
  <si>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</si>
  <si>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</si>
  <si>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</si>
  <si>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</si>
  <si>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</si>
  <si>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</si>
  <si>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</si>
  <si>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</si>
  <si>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</si>
  <si>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</si>
  <si>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</si>
  <si>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</si>
  <si>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</si>
  <si>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</si>
  <si>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</si>
  <si>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</si>
  <si>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</si>
  <si>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</si>
  <si>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</si>
  <si>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</si>
  <si>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</si>
  <si>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</si>
  <si>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</si>
  <si>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</si>
  <si>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</si>
  <si>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</si>
  <si>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</si>
  <si>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</si>
  <si>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</si>
  <si>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</si>
  <si>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</si>
  <si>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</si>
  <si>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</si>
  <si>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</si>
  <si>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</si>
  <si>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</si>
  <si>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</si>
  <si>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</si>
  <si>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</si>
  <si>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</si>
  <si>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</si>
  <si>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</si>
  <si>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</si>
  <si>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</si>
  <si>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</si>
  <si>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</si>
  <si>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</si>
  <si>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</si>
  <si>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</si>
  <si>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</si>
  <si>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</si>
  <si>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</si>
  <si>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</si>
  <si>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</si>
  <si>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</si>
  <si>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</si>
  <si>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</si>
  <si>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</si>
  <si>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</si>
  <si>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</si>
  <si>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</si>
  <si>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</si>
  <si>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</si>
  <si>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</si>
  <si>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</si>
  <si>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</si>
  <si>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</si>
  <si>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</si>
  <si>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</si>
  <si>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</si>
  <si>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</si>
  <si>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</si>
  <si>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</si>
  <si>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</si>
  <si>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</si>
  <si>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</si>
  <si>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</si>
  <si>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</si>
  <si>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</si>
  <si>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</si>
  <si>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</si>
  <si>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</si>
  <si>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</si>
  <si>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</si>
  <si>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</si>
  <si>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</si>
  <si>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</si>
  <si>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</si>
  <si>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</si>
  <si>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</si>
  <si>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</si>
  <si>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</si>
  <si>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</si>
  <si>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</si>
  <si>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</si>
  <si>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</si>
  <si>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</si>
  <si>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</si>
  <si>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</si>
  <si>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</si>
  <si>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</si>
  <si>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</si>
  <si>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</si>
  <si>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</si>
  <si>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</si>
  <si>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</si>
  <si>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</si>
  <si>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</si>
  <si>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</si>
  <si>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</si>
  <si>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</si>
  <si>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</si>
  <si>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</si>
  <si>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</si>
  <si>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</si>
  <si>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</si>
  <si>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</si>
  <si>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</si>
  <si>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</si>
  <si>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</si>
  <si>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</si>
  <si>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</si>
  <si>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</si>
  <si>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</si>
  <si>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</si>
  <si>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</si>
  <si>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</si>
  <si>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</si>
  <si>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</si>
  <si>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</si>
  <si>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</si>
  <si>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</si>
  <si>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</si>
  <si>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</si>
  <si>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</si>
  <si>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</si>
  <si>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</si>
  <si>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</si>
  <si>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</si>
  <si>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</si>
  <si>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</si>
  <si>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</si>
  <si>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</si>
  <si>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</si>
  <si>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</si>
  <si>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</si>
  <si>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</si>
  <si>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</si>
  <si>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</si>
  <si>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</si>
  <si>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</si>
  <si>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</si>
  <si>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</si>
  <si>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</si>
  <si>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</si>
  <si>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</si>
  <si>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</si>
  <si>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</si>
  <si>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</si>
  <si>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</si>
  <si>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</si>
  <si>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</si>
  <si>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</si>
  <si>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</si>
  <si>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</si>
  <si>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</si>
  <si>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</si>
  <si>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</si>
  <si>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</si>
  <si>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</si>
  <si>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</si>
  <si>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</si>
  <si>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</si>
  <si>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</si>
  <si>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</si>
  <si>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</si>
  <si>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</si>
  <si>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</si>
  <si>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</si>
  <si>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</si>
  <si>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</si>
  <si>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</si>
  <si>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</si>
  <si>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</si>
  <si>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</si>
  <si>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</si>
  <si>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</si>
  <si>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</si>
  <si>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</si>
  <si>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</si>
  <si>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</si>
  <si>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</si>
  <si>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</si>
  <si>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</si>
  <si>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</si>
  <si>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</si>
  <si>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</si>
  <si>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</si>
  <si>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</si>
  <si>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</si>
  <si>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</si>
  <si>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</si>
  <si>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</si>
  <si>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</si>
  <si>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</si>
  <si>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</si>
  <si>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</si>
  <si>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</si>
  <si>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</si>
  <si>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</si>
  <si>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</si>
  <si>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</si>
  <si>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</si>
  <si>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</si>
  <si>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</si>
  <si>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</si>
  <si>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</si>
  <si>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</si>
  <si>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</si>
  <si>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</si>
  <si>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</si>
  <si>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</si>
  <si>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</si>
  <si>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</si>
  <si>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</si>
  <si>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</si>
  <si>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</si>
  <si>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</si>
  <si>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</si>
  <si>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</si>
  <si>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</si>
  <si>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</si>
  <si>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</si>
  <si>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</si>
  <si>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</si>
  <si>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</si>
  <si>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</si>
  <si>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</si>
  <si>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</si>
  <si>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</si>
  <si>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</si>
  <si>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</si>
  <si>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</si>
  <si>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</si>
  <si>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</si>
  <si>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</si>
  <si>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</si>
  <si>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</si>
  <si>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</si>
  <si>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</si>
  <si>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</si>
  <si>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</si>
  <si>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</si>
  <si>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</si>
  <si>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</si>
  <si>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</si>
  <si>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</si>
  <si>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</si>
  <si>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</si>
  <si>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</si>
  <si>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</si>
  <si>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</si>
  <si>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</si>
  <si>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</si>
  <si>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</si>
  <si>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</si>
  <si>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</si>
  <si>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</si>
  <si>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</si>
  <si>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</si>
  <si>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</si>
  <si>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</si>
  <si>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</si>
  <si>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</si>
  <si>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</si>
  <si>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</si>
  <si>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</si>
  <si>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</si>
  <si>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</si>
  <si>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</si>
  <si>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</si>
  <si>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</si>
  <si>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</si>
  <si>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</si>
  <si>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</si>
  <si>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</si>
  <si>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</si>
  <si>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</si>
  <si>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</si>
  <si>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</si>
  <si>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</si>
  <si>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</si>
  <si>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</si>
  <si>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</si>
  <si>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</si>
  <si>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</si>
  <si>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</si>
  <si>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</si>
  <si>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</si>
  <si>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</si>
  <si>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</si>
  <si>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</si>
  <si>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</si>
  <si>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</si>
  <si>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</si>
  <si>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</si>
  <si>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</si>
  <si>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</si>
  <si>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</si>
  <si>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</si>
  <si>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</si>
  <si>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</si>
  <si>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</si>
  <si>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</si>
  <si>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</si>
  <si>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</si>
  <si>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</si>
  <si>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</si>
  <si>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</si>
  <si>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</si>
  <si>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</si>
  <si>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</si>
  <si>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</si>
  <si>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</si>
  <si>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</si>
  <si>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</si>
  <si>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</si>
  <si>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</si>
  <si>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</si>
  <si>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</si>
  <si>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</si>
  <si>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</si>
  <si>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</si>
  <si>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</si>
  <si>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</si>
  <si>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</si>
  <si>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</si>
  <si>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</si>
  <si>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</si>
  <si>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</si>
  <si>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</si>
  <si>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</si>
  <si>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</si>
  <si>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</si>
  <si>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</si>
  <si>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</si>
  <si>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</si>
  <si>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</si>
  <si>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</si>
  <si>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</si>
  <si>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</si>
  <si>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</si>
  <si>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</si>
  <si>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</si>
  <si>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</si>
  <si>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</si>
  <si>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</si>
  <si>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</si>
  <si>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</si>
  <si>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</si>
  <si>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</si>
  <si>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</si>
  <si>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</si>
  <si>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</si>
  <si>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</si>
  <si>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</si>
  <si>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</si>
  <si>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</si>
  <si>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</si>
  <si>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</si>
  <si>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</si>
  <si>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</si>
  <si>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</si>
  <si>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</si>
  <si>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</si>
  <si>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</si>
  <si>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</si>
  <si>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</si>
  <si>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</si>
  <si>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</si>
  <si>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</si>
  <si>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</si>
  <si>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</si>
  <si>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</si>
  <si>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</si>
  <si>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</si>
  <si>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</si>
  <si>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</si>
  <si>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</si>
  <si>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</si>
  <si>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</si>
  <si>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</si>
  <si>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</si>
  <si>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</si>
  <si>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</si>
  <si>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</si>
  <si>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</si>
  <si>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</si>
  <si>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</si>
  <si>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</si>
  <si>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</si>
  <si>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</si>
  <si>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</si>
  <si>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</si>
  <si>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</si>
  <si>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</si>
  <si>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</si>
  <si>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</si>
  <si>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</si>
  <si>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</si>
  <si>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</si>
  <si>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</si>
  <si>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</si>
  <si>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</si>
  <si>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</si>
  <si>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</si>
  <si>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</si>
  <si>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</si>
  <si>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</si>
  <si>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</si>
  <si>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</si>
  <si>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</si>
  <si>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</si>
  <si>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</si>
  <si>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</si>
  <si>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</si>
  <si>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</si>
  <si>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</si>
  <si>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</si>
  <si>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</si>
  <si>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</si>
  <si>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</si>
  <si>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</si>
  <si>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</si>
  <si>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</si>
  <si>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</si>
  <si>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</si>
  <si>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</si>
  <si>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</si>
  <si>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</si>
  <si>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</si>
  <si>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</si>
  <si>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</si>
  <si>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</si>
  <si>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</si>
  <si>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</si>
  <si>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</si>
  <si>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</si>
  <si>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</si>
  <si>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</si>
  <si>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</si>
  <si>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</si>
  <si>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</si>
  <si>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</si>
  <si>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</si>
  <si>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</si>
  <si>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</si>
  <si>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</si>
  <si>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</si>
  <si>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</si>
  <si>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</si>
  <si>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</si>
  <si>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</si>
  <si>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</si>
  <si>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</si>
  <si>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</si>
  <si>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</si>
  <si>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</si>
  <si>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</si>
  <si>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</si>
  <si>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</si>
  <si>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</si>
  <si>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</si>
  <si>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</si>
  <si>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</si>
  <si>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</si>
  <si>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</si>
  <si>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</si>
  <si>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</si>
  <si>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</si>
  <si>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</si>
  <si>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</si>
  <si>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</si>
  <si>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</si>
  <si>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</si>
  <si>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</si>
  <si>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</si>
  <si>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</si>
  <si>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</si>
  <si>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</si>
  <si>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</si>
  <si>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</si>
  <si>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</si>
  <si>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</si>
  <si>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</si>
  <si>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</si>
  <si>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</si>
  <si>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</si>
  <si>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</si>
  <si>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</si>
  <si>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</si>
  <si>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</si>
  <si>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</si>
  <si>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</si>
  <si>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</si>
  <si>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</si>
  <si>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</si>
  <si>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</si>
  <si>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</si>
  <si>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</si>
  <si>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</si>
  <si>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</si>
  <si>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</si>
  <si>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</si>
  <si>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</si>
  <si>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</si>
  <si>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</si>
  <si>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</si>
  <si>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</si>
  <si>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</si>
  <si>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</si>
  <si>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</si>
  <si>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</si>
  <si>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</si>
  <si>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</si>
  <si>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</si>
  <si>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</si>
  <si>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</si>
  <si>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</si>
  <si>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</si>
  <si>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</si>
  <si>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</si>
  <si>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</si>
  <si>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</si>
  <si>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</si>
  <si>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</si>
  <si>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</si>
  <si>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</si>
  <si>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</si>
  <si>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</si>
  <si>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</si>
  <si>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</si>
  <si>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</si>
  <si>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</si>
  <si>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</si>
  <si>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</si>
  <si>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</si>
  <si>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</si>
  <si>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</si>
  <si>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</si>
  <si>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</si>
  <si>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</si>
  <si>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</si>
  <si>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</si>
  <si>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</si>
  <si>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</si>
  <si>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</si>
  <si>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</si>
  <si>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</si>
  <si>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</si>
  <si>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</si>
  <si>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</si>
  <si>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</si>
  <si>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</si>
  <si>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</si>
  <si>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</si>
  <si>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</si>
  <si>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</si>
  <si>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</si>
  <si>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</si>
  <si>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</si>
  <si>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</si>
  <si>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</si>
  <si>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</si>
  <si>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</si>
  <si>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</si>
  <si>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</si>
  <si>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</si>
  <si>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</si>
  <si>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</si>
  <si>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</si>
  <si>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</si>
  <si>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</si>
  <si>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</si>
  <si>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</si>
  <si>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</si>
  <si>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</si>
  <si>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</si>
  <si>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</si>
  <si>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</si>
  <si>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</si>
  <si>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</si>
  <si>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</si>
  <si>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</si>
  <si>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</si>
  <si>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</si>
  <si>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</si>
  <si>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</si>
  <si>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</si>
  <si>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</si>
  <si>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</si>
  <si>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</si>
  <si>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</si>
  <si>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</si>
  <si>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</si>
  <si>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</si>
  <si>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</si>
  <si>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</si>
  <si>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</si>
  <si>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</si>
  <si>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</si>
  <si>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</si>
  <si>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</si>
  <si>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</si>
  <si>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</si>
  <si>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</si>
  <si>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</si>
  <si>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</si>
  <si>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</si>
  <si>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</si>
  <si>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</si>
  <si>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</si>
  <si>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</si>
  <si>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</si>
  <si>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</si>
  <si>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</si>
  <si>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</si>
  <si>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</si>
  <si>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</si>
  <si>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</si>
  <si>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</si>
  <si>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</si>
  <si>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</si>
  <si>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</si>
  <si>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</si>
  <si>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</si>
  <si>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</si>
  <si>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</si>
  <si>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</si>
  <si>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</si>
  <si>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</si>
  <si>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</si>
  <si>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</si>
  <si>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</si>
  <si>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</si>
  <si>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</si>
  <si>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</si>
  <si>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</si>
  <si>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</si>
  <si>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</si>
  <si>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</si>
  <si>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</si>
  <si>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</si>
  <si>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</si>
  <si>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</si>
  <si>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</si>
  <si>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</si>
  <si>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</si>
  <si>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</si>
  <si>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</si>
  <si>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</si>
  <si>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</si>
  <si>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</si>
  <si>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</si>
  <si>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</si>
  <si>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</si>
  <si>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</si>
  <si>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</si>
  <si>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</si>
  <si>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</si>
  <si>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</si>
  <si>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</si>
  <si>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</si>
  <si>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</si>
  <si>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</si>
  <si>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</si>
  <si>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</si>
  <si>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</si>
  <si>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</si>
  <si>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</si>
  <si>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</si>
  <si>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</si>
  <si>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</si>
  <si>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</si>
  <si>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</si>
  <si>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</si>
  <si>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</si>
  <si>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</si>
  <si>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</si>
  <si>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</si>
  <si>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</si>
  <si>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</si>
  <si>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</si>
  <si>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</si>
  <si>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</si>
  <si>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</si>
  <si>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</si>
  <si>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</si>
  <si>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</si>
  <si>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</si>
  <si>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</si>
  <si>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</si>
  <si>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</si>
  <si>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</si>
  <si>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</si>
  <si>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</si>
  <si>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</si>
  <si>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</si>
  <si>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</si>
  <si>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</si>
  <si>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</si>
  <si>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</si>
  <si>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</si>
  <si>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</si>
  <si>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</si>
  <si>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</si>
  <si>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</si>
  <si>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</si>
  <si>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</si>
  <si>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</si>
  <si>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</si>
  <si>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</si>
  <si>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</si>
  <si>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</si>
  <si>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</si>
  <si>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</si>
  <si>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</si>
  <si>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</si>
  <si>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</si>
  <si>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</si>
  <si>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</si>
  <si>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</si>
  <si>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</si>
  <si>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</si>
  <si>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</si>
  <si>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</si>
  <si>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</si>
  <si>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</si>
  <si>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</si>
  <si>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</si>
  <si>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</si>
  <si>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</si>
  <si>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</si>
  <si>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</si>
  <si>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</si>
  <si>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</si>
  <si>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</si>
  <si>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</si>
  <si>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</si>
  <si>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</si>
  <si>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</si>
  <si>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</si>
  <si>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</si>
  <si>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</si>
  <si>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</si>
  <si>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</si>
  <si>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</si>
  <si>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</si>
  <si>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</si>
  <si>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</si>
  <si>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</si>
  <si>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</si>
  <si>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</si>
  <si>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</si>
  <si>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</si>
  <si>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</si>
  <si>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</si>
  <si>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</si>
  <si>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</si>
  <si>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</si>
  <si>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</si>
  <si>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</si>
  <si>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</si>
  <si>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</si>
  <si>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</si>
  <si>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</si>
  <si>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</si>
  <si>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</si>
  <si>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</si>
  <si>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</si>
  <si>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</si>
  <si>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</si>
  <si>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</si>
  <si>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</si>
  <si>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</si>
  <si>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</si>
  <si>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</si>
  <si>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</si>
  <si>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</si>
  <si>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</si>
  <si>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</si>
  <si>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</si>
  <si>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</si>
  <si>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</si>
  <si>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</si>
  <si>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</si>
  <si>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</si>
  <si>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</si>
  <si>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</si>
  <si>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</si>
  <si>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</si>
  <si>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</si>
  <si>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</si>
  <si>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</si>
  <si>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</si>
  <si>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</si>
  <si>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</si>
  <si>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</si>
  <si>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</si>
  <si>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</si>
  <si>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</si>
  <si>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</si>
  <si>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</si>
  <si>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</si>
  <si>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</si>
  <si>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</si>
  <si>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</si>
  <si>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</si>
  <si>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</si>
  <si>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</si>
  <si>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</si>
  <si>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</si>
  <si>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</si>
  <si>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</si>
  <si>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</si>
  <si>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</si>
  <si>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</si>
  <si>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</si>
  <si>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</si>
  <si>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</si>
  <si>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</si>
  <si>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</si>
  <si>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</si>
  <si>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</si>
  <si>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</si>
  <si>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</si>
  <si>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</si>
  <si>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</si>
  <si>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</si>
  <si>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</si>
  <si>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</si>
  <si>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</si>
  <si>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</si>
  <si>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</si>
  <si>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</si>
  <si>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</si>
  <si>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</si>
  <si>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</si>
  <si>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</si>
  <si>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</si>
  <si>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</si>
  <si>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</si>
  <si>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</si>
  <si>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</si>
  <si>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</si>
  <si>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</si>
  <si>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</si>
  <si>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</si>
  <si>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</si>
  <si>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</si>
  <si>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</si>
  <si>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</si>
  <si>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</si>
  <si>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</si>
  <si>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</si>
  <si>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</si>
  <si>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</si>
  <si>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</si>
  <si>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</si>
  <si>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</si>
  <si>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</si>
  <si>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</si>
  <si>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</si>
  <si>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</si>
  <si>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</si>
  <si>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</si>
  <si>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</si>
  <si>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</si>
  <si>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</si>
  <si>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</si>
  <si>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</si>
  <si>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</si>
  <si>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</si>
  <si>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</si>
  <si>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</si>
  <si>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</si>
  <si>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</si>
  <si>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</si>
  <si>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</si>
  <si>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</si>
  <si>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</si>
  <si>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</si>
  <si>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</si>
  <si>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</si>
  <si>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</si>
  <si>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</si>
  <si>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</si>
  <si>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</si>
  <si>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</si>
  <si>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</si>
  <si>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</si>
  <si>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</si>
  <si>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</si>
  <si>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</si>
  <si>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</si>
  <si>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</si>
  <si>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</si>
  <si>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</si>
  <si>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</si>
  <si>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</si>
  <si>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</si>
  <si>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</si>
  <si>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</si>
  <si>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</si>
  <si>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</si>
  <si>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</si>
  <si>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</si>
  <si>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</si>
  <si>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</si>
  <si>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</si>
  <si>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</si>
  <si>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</si>
  <si>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</si>
  <si>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</si>
  <si>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</si>
  <si>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</si>
  <si>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</si>
  <si>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</si>
  <si>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</si>
  <si>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</si>
  <si>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</si>
  <si>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</si>
  <si>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</si>
  <si>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</si>
  <si>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</si>
  <si>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</si>
  <si>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</si>
  <si>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</si>
  <si>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</si>
  <si>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</si>
  <si>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</si>
  <si>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</si>
  <si>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</si>
  <si>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</si>
  <si>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</si>
  <si>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</si>
  <si>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</si>
  <si>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</si>
  <si>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</si>
  <si>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</si>
  <si>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</si>
  <si>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</si>
  <si>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</si>
  <si>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</si>
  <si>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</si>
  <si>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</si>
  <si>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</si>
  <si>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</si>
  <si>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</si>
  <si>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</si>
  <si>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</si>
  <si>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</si>
  <si>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</si>
  <si>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</si>
  <si>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</si>
  <si>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</si>
  <si>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</si>
  <si>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</si>
  <si>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</si>
  <si>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</si>
  <si>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</si>
  <si>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</si>
  <si>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</si>
  <si>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</si>
  <si>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</si>
  <si>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</si>
  <si>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</si>
  <si>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</si>
  <si>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</si>
  <si>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</si>
  <si>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</si>
  <si>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</si>
  <si>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</si>
  <si>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</si>
  <si>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</si>
  <si>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</si>
  <si>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</si>
  <si>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</si>
  <si>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</si>
  <si>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</si>
  <si>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</si>
  <si>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</si>
  <si>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</si>
  <si>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</si>
  <si>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</si>
  <si>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</si>
  <si>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</si>
  <si>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</si>
  <si>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</si>
  <si>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</si>
  <si>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</si>
  <si>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</si>
  <si>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</si>
  <si>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</si>
  <si>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</si>
  <si>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</si>
  <si>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</si>
  <si>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</si>
  <si>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</si>
  <si>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</si>
  <si>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</si>
  <si>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</si>
  <si>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</si>
  <si>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</si>
  <si>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</si>
  <si>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</si>
  <si>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</si>
  <si>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</si>
  <si>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</si>
  <si>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</si>
  <si>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</si>
  <si>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</si>
  <si>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</si>
  <si>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</si>
  <si>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</si>
  <si>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</si>
  <si>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</si>
  <si>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</si>
  <si>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</si>
  <si>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</si>
  <si>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</si>
  <si>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</si>
  <si>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</si>
  <si>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</si>
  <si>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</si>
  <si>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</si>
  <si>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</si>
  <si>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</si>
  <si>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</si>
  <si>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</si>
  <si>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</si>
  <si>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</si>
  <si>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</si>
  <si>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</si>
  <si>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</si>
  <si>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</si>
  <si>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</si>
  <si>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</si>
  <si>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</si>
  <si>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</si>
  <si>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</si>
  <si>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</si>
  <si>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</si>
  <si>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</si>
  <si>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</si>
  <si>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</si>
  <si>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</si>
  <si>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</si>
  <si>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</si>
  <si>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</si>
  <si>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</si>
  <si>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</si>
  <si>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</si>
  <si>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</si>
  <si>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</si>
  <si>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</si>
  <si>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</si>
  <si>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</si>
  <si>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</si>
  <si>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</si>
  <si>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</si>
  <si>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</si>
  <si>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</si>
  <si>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</si>
  <si>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</si>
  <si>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</si>
  <si>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</si>
  <si>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</si>
  <si>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</si>
  <si>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</si>
  <si>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</si>
  <si>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</si>
  <si>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</si>
  <si>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</si>
  <si>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</si>
  <si>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</si>
  <si>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</si>
  <si>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</si>
  <si>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</si>
  <si>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</si>
  <si>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</si>
  <si>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</si>
  <si>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</si>
  <si>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</si>
  <si>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</si>
  <si>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</si>
  <si>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</si>
  <si>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</si>
  <si>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</si>
  <si>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</si>
  <si>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</si>
  <si>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</si>
  <si>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</si>
  <si>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</si>
  <si>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</si>
  <si>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</si>
  <si>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</si>
  <si>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</si>
  <si>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</si>
  <si>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</si>
  <si>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</si>
  <si>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</si>
  <si>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</si>
  <si>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</si>
  <si>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</si>
  <si>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</si>
  <si>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</si>
  <si>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</si>
  <si>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</si>
  <si>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</si>
  <si>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</si>
  <si>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</si>
  <si>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</si>
  <si>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</si>
  <si>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</si>
  <si>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</si>
  <si>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</si>
  <si>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</si>
  <si>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</si>
  <si>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</si>
  <si>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</si>
  <si>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</si>
  <si>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</si>
  <si>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</si>
  <si>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</si>
  <si>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</si>
  <si>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</si>
  <si>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</si>
  <si>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</si>
  <si>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</si>
  <si>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</si>
  <si>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</si>
  <si>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</si>
  <si>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</si>
  <si>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</si>
  <si>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</si>
  <si>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</si>
  <si>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</si>
  <si>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</si>
  <si>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</si>
  <si>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</si>
  <si>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</si>
  <si>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</si>
  <si>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</si>
  <si>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</si>
  <si>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</si>
  <si>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</si>
  <si>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</si>
  <si>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</si>
  <si>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</si>
  <si>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</si>
  <si>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</si>
  <si>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</si>
  <si>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</si>
  <si>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</si>
  <si>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</si>
  <si>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</si>
  <si>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</si>
  <si>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</si>
  <si>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</si>
  <si>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</si>
  <si>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</si>
  <si>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</si>
  <si>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</si>
  <si>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</si>
  <si>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</si>
  <si>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</si>
  <si>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</si>
  <si>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</si>
  <si>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</si>
  <si>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</si>
  <si>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</si>
  <si>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</si>
  <si>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</si>
  <si>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</si>
  <si>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</si>
  <si>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</si>
  <si>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</si>
  <si>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</si>
  <si>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</si>
  <si>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</si>
  <si>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</si>
  <si>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</si>
  <si>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</si>
  <si>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</si>
  <si>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</si>
  <si>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</si>
  <si>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</si>
  <si>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</si>
  <si>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</si>
  <si>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</si>
  <si>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</si>
  <si>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</si>
  <si>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</si>
  <si>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</si>
  <si>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</si>
  <si>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</si>
  <si>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</si>
  <si>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</si>
  <si>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</si>
  <si>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</si>
  <si>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</si>
  <si>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</si>
  <si>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</si>
  <si>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</si>
  <si>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</si>
  <si>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</si>
  <si>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</si>
  <si>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</si>
  <si>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</si>
  <si>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</si>
  <si>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</si>
  <si>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</si>
  <si>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</si>
  <si>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</si>
  <si>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</si>
  <si>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</si>
  <si>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</si>
  <si>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</si>
  <si>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</si>
  <si>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</si>
  <si>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</si>
  <si>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</si>
  <si>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</si>
  <si>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</si>
  <si>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</si>
  <si>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</si>
  <si>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</si>
  <si>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</si>
  <si>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</si>
  <si>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</si>
  <si>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</si>
  <si>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</si>
  <si>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</si>
  <si>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</si>
  <si>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</si>
  <si>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</si>
  <si>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</si>
  <si>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</si>
  <si>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</si>
  <si>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</si>
  <si>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</si>
  <si>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</si>
  <si>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</si>
  <si>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</si>
  <si>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</si>
  <si>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</si>
  <si>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</si>
  <si>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</si>
  <si>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</si>
  <si>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</si>
  <si>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</si>
  <si>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</si>
  <si>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</si>
  <si>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</si>
  <si>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</si>
  <si>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</si>
  <si>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</si>
  <si>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</si>
  <si>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</si>
  <si>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</si>
  <si>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</si>
  <si>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</si>
  <si>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</si>
  <si>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</si>
  <si>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</si>
  <si>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</si>
  <si>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</si>
  <si>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</si>
  <si>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</si>
  <si>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</si>
  <si>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</si>
  <si>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</si>
  <si>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</si>
  <si>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</si>
  <si>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</si>
  <si>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</si>
  <si>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</si>
  <si>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</si>
  <si>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</si>
  <si>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</si>
  <si>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</si>
  <si>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</si>
  <si>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</si>
  <si>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</si>
  <si>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</si>
  <si>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</si>
  <si>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</si>
  <si>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</si>
  <si>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</si>
  <si>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</si>
  <si>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</si>
  <si>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</si>
  <si>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</si>
  <si>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</si>
  <si>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</si>
  <si>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</si>
  <si>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</si>
  <si>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</si>
  <si>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</si>
  <si>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</si>
  <si>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</si>
  <si>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</si>
  <si>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</si>
  <si>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</si>
  <si>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</si>
  <si>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</si>
  <si>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</si>
  <si>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</si>
  <si>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</si>
  <si>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</si>
  <si>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</si>
  <si>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</si>
  <si>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</si>
  <si>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</si>
  <si>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</si>
  <si>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</si>
  <si>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</si>
  <si>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</si>
  <si>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</si>
  <si>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</si>
  <si>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</si>
  <si>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</si>
  <si>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</si>
  <si>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</si>
  <si>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</si>
  <si>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</si>
  <si>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</si>
  <si>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</si>
  <si>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</si>
  <si>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</si>
  <si>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</si>
  <si>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</si>
  <si>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</si>
  <si>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</si>
  <si>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</si>
  <si>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</si>
  <si>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</si>
  <si>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</si>
  <si>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</si>
  <si>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</si>
  <si>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</si>
  <si>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</si>
  <si>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</si>
  <si>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</si>
  <si>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</si>
  <si>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</si>
  <si>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</si>
  <si>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</si>
  <si>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</si>
  <si>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</si>
  <si>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</si>
  <si>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</si>
  <si>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</si>
  <si>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</si>
  <si>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</si>
  <si>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</si>
  <si>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</si>
  <si>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</si>
  <si>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</si>
  <si>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</si>
  <si>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</si>
  <si>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</si>
  <si>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</si>
  <si>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</si>
  <si>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</si>
  <si>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</si>
  <si>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</si>
  <si>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</si>
  <si>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</si>
  <si>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</si>
  <si>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</si>
  <si>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</si>
  <si>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</si>
  <si>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</si>
  <si>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</si>
  <si>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</si>
  <si>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</si>
  <si>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</si>
  <si>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</si>
  <si>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</si>
  <si>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</si>
  <si>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</si>
  <si>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</si>
  <si>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</si>
  <si>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</si>
  <si>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</si>
  <si>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</si>
  <si>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</si>
  <si>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</si>
  <si>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</si>
  <si>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</si>
  <si>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</si>
  <si>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</si>
  <si>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</si>
  <si>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</si>
  <si>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</si>
  <si>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</si>
  <si>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</si>
  <si>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</si>
  <si>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</si>
  <si>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</si>
  <si>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</si>
  <si>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</si>
  <si>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</si>
  <si>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</si>
  <si>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</si>
  <si>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</si>
  <si>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</si>
  <si>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</si>
  <si>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</si>
  <si>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</si>
  <si>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</si>
  <si>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</si>
  <si>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</si>
  <si>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</si>
  <si>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</si>
  <si>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</si>
  <si>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</si>
  <si>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</si>
  <si>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</si>
  <si>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</si>
  <si>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</si>
  <si>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</si>
  <si>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</si>
  <si>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</si>
  <si>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</si>
  <si>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</si>
  <si>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</si>
  <si>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</si>
  <si>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</si>
  <si>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</si>
  <si>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</si>
  <si>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</si>
  <si>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</si>
  <si>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</si>
  <si>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</si>
  <si>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</si>
  <si>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</si>
  <si>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</si>
  <si>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</si>
  <si>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</si>
  <si>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</si>
  <si>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</si>
  <si>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</si>
  <si>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</si>
  <si>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</si>
  <si>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</si>
  <si>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</si>
  <si>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</si>
  <si>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</si>
  <si>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</si>
  <si>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</si>
  <si>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</si>
  <si>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</si>
  <si>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</si>
  <si>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</si>
  <si>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</si>
  <si>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</si>
  <si>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</si>
  <si>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</si>
  <si>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</si>
  <si>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</si>
  <si>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</si>
  <si>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</si>
  <si>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</si>
  <si>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</si>
  <si>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</si>
  <si>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</si>
  <si>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</si>
  <si>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</si>
  <si>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</si>
  <si>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</si>
  <si>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</si>
  <si>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</si>
  <si>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</si>
  <si>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</si>
  <si>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</si>
  <si>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</si>
  <si>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</si>
  <si>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</si>
  <si>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</si>
  <si>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</si>
  <si>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</si>
  <si>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</si>
  <si>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</si>
  <si>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</si>
  <si>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</si>
  <si>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</si>
  <si>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</si>
  <si>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</si>
  <si>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</si>
  <si>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</si>
  <si>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</si>
  <si>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</si>
  <si>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</si>
  <si>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</si>
  <si>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</si>
  <si>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</si>
  <si>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</si>
  <si>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</si>
  <si>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</si>
  <si>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</si>
  <si>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</si>
  <si>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</si>
  <si>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</si>
  <si>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</si>
  <si>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</si>
  <si>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</si>
  <si>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</si>
  <si>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</si>
  <si>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</si>
  <si>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</si>
  <si>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</si>
  <si>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</si>
  <si>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</si>
  <si>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</si>
  <si>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</si>
  <si>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</si>
  <si>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</si>
  <si>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</si>
  <si>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</si>
  <si>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</si>
  <si>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</si>
  <si>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</si>
  <si>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</si>
  <si>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</si>
  <si>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</si>
  <si>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</si>
  <si>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</si>
  <si>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</si>
  <si>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</si>
  <si>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</si>
  <si>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</si>
  <si>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</si>
  <si>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</si>
  <si>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</si>
  <si>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</si>
  <si>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</si>
  <si>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</si>
  <si>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</si>
  <si>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</si>
  <si>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</si>
  <si>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</si>
  <si>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</si>
  <si>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</si>
  <si>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</si>
  <si>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</si>
  <si>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</si>
  <si>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</si>
  <si>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</si>
  <si>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</si>
  <si>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</si>
  <si>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</si>
  <si>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</si>
  <si>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</si>
  <si>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</si>
  <si>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</si>
  <si>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</si>
  <si>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</si>
  <si>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</si>
  <si>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</si>
  <si>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</si>
  <si>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</si>
  <si>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</si>
  <si>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</si>
  <si>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</si>
  <si>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</si>
  <si>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</si>
  <si>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</si>
  <si>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</si>
  <si>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</si>
  <si>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</si>
  <si>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</si>
  <si>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</si>
  <si>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</si>
  <si>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</si>
  <si>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</si>
  <si>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</si>
  <si>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</si>
  <si>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</si>
  <si>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</si>
  <si>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</si>
  <si>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</si>
  <si>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</si>
  <si>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</si>
  <si>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</si>
  <si>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</si>
  <si>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</si>
  <si>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</si>
  <si>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</si>
  <si>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</si>
  <si>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</si>
  <si>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</si>
  <si>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</si>
  <si>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</si>
  <si>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</si>
  <si>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</si>
  <si>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</si>
  <si>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</si>
  <si>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</si>
  <si>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</si>
  <si>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</si>
  <si>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</si>
  <si>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</si>
  <si>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</si>
  <si>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</si>
  <si>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</si>
  <si>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</si>
  <si>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</si>
  <si>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</si>
  <si>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</si>
  <si>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</si>
  <si>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</si>
  <si>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</si>
  <si>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</si>
  <si>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</si>
  <si>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</si>
  <si>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</si>
  <si>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</si>
  <si>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</si>
  <si>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</si>
  <si>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</si>
  <si>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</si>
  <si>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</si>
  <si>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</si>
  <si>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</si>
  <si>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</si>
  <si>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</si>
  <si>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</si>
  <si>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</si>
  <si>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</si>
  <si>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</si>
  <si>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</si>
  <si>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</si>
  <si>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</si>
  <si>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</si>
  <si>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</si>
  <si>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</si>
  <si>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</si>
  <si>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</si>
  <si>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</si>
  <si>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</si>
  <si>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</si>
  <si>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</si>
  <si>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</si>
  <si>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</si>
  <si>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</si>
  <si>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</si>
  <si>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</si>
  <si>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</si>
  <si>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</si>
  <si>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</si>
  <si>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</si>
  <si>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</si>
  <si>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</si>
  <si>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</si>
  <si>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</si>
  <si>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</si>
  <si>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</si>
  <si>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</si>
  <si>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</si>
  <si>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</si>
  <si>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</si>
  <si>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</si>
  <si>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</si>
  <si>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</si>
  <si>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</si>
  <si>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</si>
  <si>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</si>
  <si>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</si>
  <si>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</si>
  <si>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</si>
  <si>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</si>
  <si>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</si>
  <si>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</si>
  <si>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</si>
  <si>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</si>
  <si>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</si>
  <si>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</si>
  <si>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</si>
  <si>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</si>
  <si>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</si>
  <si>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</si>
  <si>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</si>
  <si>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</si>
  <si>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</si>
  <si>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</si>
  <si>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</si>
  <si>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</si>
  <si>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</si>
  <si>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</si>
  <si>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</si>
  <si>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</si>
  <si>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</si>
  <si>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</si>
  <si>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</si>
  <si>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</si>
  <si>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</si>
  <si>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</si>
  <si>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</si>
  <si>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</si>
  <si>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</si>
  <si>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</si>
  <si>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</si>
  <si>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</si>
  <si>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</si>
  <si>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</si>
  <si>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</si>
  <si>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</si>
  <si>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</si>
  <si>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</si>
  <si>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</si>
  <si>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</si>
  <si>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</si>
  <si>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</si>
  <si>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</si>
  <si>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</si>
  <si>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</si>
  <si>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</si>
  <si>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</si>
  <si>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</si>
  <si>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</si>
  <si>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</si>
  <si>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</si>
  <si>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</si>
  <si>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</si>
  <si>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</si>
  <si>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</si>
  <si>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</si>
  <si>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</si>
  <si>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</si>
  <si>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</si>
  <si>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</si>
  <si>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</si>
  <si>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</si>
  <si>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</si>
  <si>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</si>
  <si>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</si>
  <si>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</si>
  <si>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</si>
  <si>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</si>
  <si>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</si>
  <si>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</si>
  <si>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</si>
  <si>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</si>
  <si>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</si>
  <si>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</si>
  <si>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</si>
  <si>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</si>
  <si>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</si>
  <si>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</si>
  <si>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</si>
  <si>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</si>
  <si>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</si>
  <si>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</si>
  <si>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</si>
  <si>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</si>
  <si>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</si>
  <si>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</si>
  <si>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</si>
  <si>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</si>
  <si>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</si>
  <si>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</si>
  <si>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</si>
  <si>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</si>
  <si>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</si>
  <si>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</si>
  <si>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</si>
  <si>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</si>
  <si>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</si>
  <si>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</si>
  <si>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</si>
  <si>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</si>
  <si>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</si>
  <si>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</si>
  <si>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</si>
  <si>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</si>
  <si>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</si>
  <si>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</si>
  <si>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</si>
  <si>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</si>
  <si>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</si>
  <si>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</si>
  <si>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</si>
  <si>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</si>
  <si>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</si>
  <si>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</si>
  <si>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</si>
  <si>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</si>
  <si>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</si>
  <si>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</si>
  <si>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</si>
  <si>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</si>
  <si>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</si>
  <si>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</si>
  <si>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</si>
  <si>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</si>
  <si>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</si>
  <si>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</si>
  <si>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</si>
  <si>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</si>
  <si>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</si>
  <si>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</si>
  <si>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</si>
  <si>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</si>
  <si>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</si>
  <si>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</si>
  <si>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</si>
  <si>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</si>
  <si>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</si>
  <si>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</si>
  <si>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</si>
  <si>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</si>
  <si>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</si>
  <si>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</si>
  <si>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</si>
  <si>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</si>
  <si>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</si>
  <si>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</si>
  <si>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</si>
  <si>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</si>
  <si>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</si>
  <si>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</si>
  <si>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</si>
  <si>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</si>
  <si>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</si>
  <si>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</si>
  <si>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</si>
  <si>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</si>
  <si>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</si>
  <si>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</si>
  <si>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</si>
  <si>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</si>
  <si>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</si>
  <si>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</si>
  <si>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</si>
  <si>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</si>
  <si>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</si>
  <si>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</si>
  <si>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</si>
  <si>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</si>
  <si>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</si>
  <si>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</si>
  <si>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</si>
  <si>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</si>
  <si>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</si>
  <si>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</si>
  <si>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</si>
  <si>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</si>
  <si>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</si>
  <si>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</si>
  <si>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</si>
  <si>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</si>
  <si>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</si>
  <si>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</si>
  <si>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</si>
  <si>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</si>
  <si>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</si>
  <si>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</si>
  <si>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</si>
  <si>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</si>
  <si>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</si>
  <si>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</si>
  <si>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</si>
  <si>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</si>
  <si>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</si>
  <si>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</si>
  <si>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</si>
  <si>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</si>
  <si>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</si>
  <si>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</si>
  <si>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</si>
  <si>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</si>
  <si>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</si>
  <si>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</si>
  <si>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</si>
  <si>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</si>
  <si>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</si>
  <si>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</si>
  <si>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</si>
  <si>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</si>
  <si>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</si>
  <si>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</si>
  <si>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</si>
  <si>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</si>
  <si>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</si>
  <si>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</si>
  <si>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</si>
  <si>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</si>
  <si>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</si>
  <si>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</si>
  <si>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</si>
  <si>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</si>
  <si>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</si>
  <si>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</si>
  <si>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</si>
  <si>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</si>
  <si>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</si>
  <si>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</si>
  <si>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</si>
  <si>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</si>
  <si>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</si>
  <si>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</si>
  <si>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</si>
  <si>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</si>
  <si>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</si>
  <si>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</si>
  <si>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</si>
  <si>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</si>
  <si>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</si>
  <si>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</si>
  <si>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</si>
  <si>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</si>
  <si>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</si>
  <si>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</si>
  <si>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</si>
  <si>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</si>
  <si>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</si>
  <si>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</si>
  <si>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</si>
  <si>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</si>
  <si>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</si>
  <si>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</si>
  <si>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</si>
  <si>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</si>
  <si>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</si>
  <si>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</si>
  <si>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</si>
  <si>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</si>
  <si>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</si>
  <si>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</si>
  <si>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</si>
  <si>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</si>
  <si>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</si>
  <si>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</si>
  <si>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</si>
  <si>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</si>
  <si>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</si>
  <si>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</si>
  <si>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</si>
  <si>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</si>
  <si>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</si>
  <si>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</si>
  <si>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</si>
  <si>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</si>
  <si>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</si>
  <si>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</si>
  <si>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</si>
  <si>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</si>
  <si>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</si>
  <si>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</si>
  <si>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</si>
  <si>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</si>
  <si>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</si>
  <si>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</si>
  <si>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</si>
  <si>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</si>
  <si>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</si>
  <si>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</si>
  <si>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</si>
  <si>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</si>
  <si>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</si>
  <si>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</si>
  <si>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</si>
  <si>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</si>
  <si>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</si>
  <si>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</si>
  <si>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</si>
  <si>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</si>
  <si>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</si>
  <si>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</si>
  <si>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</si>
  <si>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</si>
  <si>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</si>
  <si>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</si>
  <si>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</si>
  <si>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</si>
  <si>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</si>
  <si>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</si>
  <si>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</si>
  <si>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</si>
  <si>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</si>
  <si>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</si>
  <si>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</si>
  <si>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</si>
  <si>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</si>
  <si>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</si>
  <si>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</si>
  <si>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</si>
  <si>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</si>
  <si>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</si>
  <si>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</si>
  <si>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</si>
  <si>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</si>
  <si>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</si>
  <si>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</si>
  <si>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</si>
  <si>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</si>
  <si>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</si>
  <si>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</si>
  <si>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</si>
  <si>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</si>
  <si>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</si>
  <si>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</si>
  <si>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</si>
  <si>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</si>
  <si>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</si>
  <si>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</si>
  <si>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</si>
  <si>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</si>
  <si>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</si>
  <si>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</si>
  <si>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</si>
  <si>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</si>
  <si>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</si>
  <si>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</si>
  <si>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</si>
  <si>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</si>
  <si>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</si>
  <si>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</si>
  <si>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</si>
  <si>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</si>
  <si>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</si>
  <si>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</si>
  <si>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</si>
  <si>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</si>
  <si>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</si>
  <si>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</si>
  <si>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</si>
  <si>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</si>
  <si>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</si>
  <si>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</si>
  <si>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</si>
  <si>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</si>
  <si>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</si>
  <si>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</si>
  <si>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</si>
  <si>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</si>
  <si>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</si>
  <si>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</si>
  <si>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</si>
  <si>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</si>
  <si>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</si>
  <si>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</si>
  <si>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</si>
  <si>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</si>
  <si>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</si>
  <si>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</si>
  <si>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</si>
  <si>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</si>
  <si>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</si>
  <si>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</si>
  <si>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</si>
  <si>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</si>
  <si>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</si>
  <si>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</si>
  <si>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</si>
  <si>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</si>
  <si>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</si>
  <si>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</si>
  <si>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</si>
  <si>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</si>
  <si>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</si>
  <si>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</si>
  <si>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</si>
  <si>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</si>
  <si>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</si>
  <si>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</si>
  <si>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</si>
  <si>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</si>
  <si>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</si>
  <si>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</si>
  <si>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</si>
  <si>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</si>
  <si>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</si>
  <si>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</si>
  <si>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</si>
  <si>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</si>
  <si>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</si>
  <si>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</si>
  <si>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</si>
  <si>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</si>
  <si>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</si>
  <si>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</si>
  <si>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</si>
  <si>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</si>
  <si>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</si>
  <si>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</si>
  <si>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</si>
  <si>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</si>
  <si>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</si>
  <si>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</si>
  <si>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</si>
  <si>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</si>
  <si>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</si>
  <si>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</si>
  <si>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</si>
  <si>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</si>
  <si>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</si>
  <si>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</si>
  <si>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</si>
  <si>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</si>
  <si>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</si>
  <si>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</si>
  <si>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</si>
  <si>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</si>
  <si>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</si>
  <si>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</si>
  <si>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</si>
  <si>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</si>
  <si>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</si>
  <si>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</si>
  <si>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</si>
  <si>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</si>
  <si>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</si>
  <si>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</si>
  <si>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</si>
  <si>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</si>
  <si>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</si>
  <si>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</si>
  <si>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</si>
  <si>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</si>
  <si>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</si>
  <si>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</si>
  <si>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</si>
  <si>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</si>
  <si>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</si>
  <si>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</si>
  <si>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</si>
  <si>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</si>
  <si>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</si>
  <si>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</si>
  <si>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</si>
  <si>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</si>
  <si>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</si>
  <si>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</si>
  <si>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</si>
  <si>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</si>
  <si>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</si>
  <si>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</si>
  <si>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</si>
  <si>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</si>
  <si>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</si>
  <si>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</si>
  <si>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</si>
  <si>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</si>
  <si>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</si>
  <si>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</si>
  <si>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</si>
  <si>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</si>
  <si>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</si>
  <si>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</si>
  <si>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</si>
  <si>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</si>
  <si>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</si>
  <si>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</si>
  <si>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</si>
  <si>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</si>
  <si>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</si>
  <si>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</si>
  <si>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</si>
  <si>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</si>
  <si>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</si>
  <si>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</si>
  <si>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</si>
  <si>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</si>
  <si>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</si>
  <si>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</si>
  <si>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</si>
  <si>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</si>
  <si>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</si>
  <si>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</si>
  <si>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</si>
  <si>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</si>
  <si>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</si>
  <si>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</si>
  <si>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</si>
  <si>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</si>
  <si>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</si>
  <si>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</si>
  <si>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</si>
  <si>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</si>
  <si>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</si>
  <si>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</si>
  <si>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</si>
  <si>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</si>
  <si>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</si>
  <si>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</si>
  <si>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</si>
  <si>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</si>
  <si>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</si>
  <si>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</si>
  <si>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</si>
  <si>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</si>
  <si>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</si>
  <si>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</si>
  <si>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</si>
  <si>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</si>
  <si>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</si>
  <si>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</si>
  <si>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</si>
  <si>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</si>
  <si>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</si>
  <si>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</si>
  <si>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</si>
  <si>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</si>
  <si>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</si>
  <si>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</si>
  <si>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</si>
  <si>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</si>
  <si>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</si>
  <si>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</si>
  <si>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</si>
  <si>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</si>
  <si>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</si>
  <si>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</si>
  <si>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</si>
  <si>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</si>
  <si>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</si>
  <si>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</si>
  <si>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</si>
  <si>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</si>
  <si>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</si>
  <si>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</si>
  <si>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</si>
  <si>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</si>
  <si>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</si>
  <si>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</si>
  <si>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</si>
  <si>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</si>
  <si>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</si>
  <si>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</si>
  <si>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</si>
  <si>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</si>
  <si>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</si>
  <si>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</si>
  <si>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</si>
  <si>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</si>
  <si>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</si>
  <si>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</si>
  <si>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</si>
  <si>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</si>
  <si>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</si>
  <si>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</si>
  <si>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</si>
  <si>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</si>
  <si>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</si>
  <si>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</si>
  <si>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</si>
  <si>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</si>
  <si>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</si>
  <si>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</si>
  <si>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</si>
  <si>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</si>
  <si>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</si>
  <si>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</si>
  <si>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</si>
  <si>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</si>
  <si>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</si>
  <si>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</si>
  <si>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</si>
  <si>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</si>
  <si>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</si>
  <si>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</si>
  <si>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</si>
  <si>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</si>
  <si>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</si>
  <si>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</si>
  <si>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</si>
  <si>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</si>
  <si>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</si>
  <si>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</si>
  <si>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</si>
  <si>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</si>
  <si>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</si>
  <si>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</si>
  <si>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</si>
  <si>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</si>
  <si>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</si>
  <si>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</si>
  <si>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</si>
  <si>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</si>
  <si>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</si>
  <si>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</si>
  <si>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</si>
  <si>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</si>
  <si>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</si>
  <si>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</si>
  <si>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</si>
  <si>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</si>
  <si>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</si>
  <si>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</si>
  <si>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</si>
  <si>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</si>
  <si>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</si>
  <si>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</si>
  <si>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</si>
  <si>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</si>
  <si>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</si>
  <si>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</si>
  <si>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</si>
  <si>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</si>
  <si>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</si>
  <si>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</si>
  <si>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</si>
  <si>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</si>
  <si>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</si>
  <si>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</si>
  <si>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</si>
  <si>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</si>
  <si>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</si>
  <si>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</si>
  <si>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</si>
  <si>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</si>
  <si>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</si>
  <si>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</si>
  <si>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</si>
  <si>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</si>
  <si>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</si>
  <si>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</si>
  <si>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</si>
  <si>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</si>
  <si>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</si>
  <si>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</si>
  <si>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</si>
  <si>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</si>
  <si>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</si>
  <si>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</si>
  <si>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</si>
  <si>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</si>
  <si>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</si>
  <si>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</si>
  <si>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</si>
  <si>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</si>
  <si>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</si>
  <si>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</si>
  <si>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</si>
  <si>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</si>
  <si>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</si>
  <si>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</si>
  <si>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</si>
  <si>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</si>
  <si>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</si>
  <si>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</si>
  <si>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</si>
  <si>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</si>
  <si>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</si>
  <si>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</si>
  <si>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</si>
  <si>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</si>
  <si>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</si>
  <si>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</si>
  <si>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</si>
  <si>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</si>
  <si>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</si>
  <si>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</si>
  <si>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</si>
  <si>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</si>
  <si>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</si>
  <si>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</si>
  <si>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</si>
  <si>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</si>
  <si>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</si>
  <si>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</si>
  <si>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</si>
  <si>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</si>
  <si>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</si>
  <si>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</si>
  <si>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</si>
  <si>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</si>
  <si>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</si>
  <si>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</si>
  <si>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</si>
  <si>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</si>
  <si>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</si>
  <si>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</si>
  <si>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</si>
  <si>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</si>
  <si>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</si>
  <si>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</si>
  <si>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</si>
  <si>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</si>
  <si>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</si>
  <si>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</si>
  <si>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</si>
  <si>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</si>
  <si>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</si>
  <si>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</si>
  <si>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</si>
  <si>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</si>
  <si>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</si>
  <si>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</si>
  <si>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</si>
  <si>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</si>
  <si>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</si>
  <si>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</si>
  <si>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</si>
  <si>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</si>
  <si>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</si>
  <si>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</si>
  <si>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</si>
  <si>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</si>
  <si>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</si>
  <si>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</si>
  <si>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</si>
  <si>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</si>
  <si>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</si>
  <si>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</si>
  <si>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</si>
  <si>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</si>
  <si>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</si>
  <si>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</si>
  <si>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</si>
  <si>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</si>
  <si>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</si>
  <si>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</si>
  <si>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</si>
  <si>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</si>
  <si>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</si>
  <si>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</si>
  <si>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</si>
  <si>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</si>
  <si>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</si>
  <si>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</si>
  <si>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</si>
  <si>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</si>
  <si>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</si>
  <si>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</si>
  <si>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</si>
  <si>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</si>
  <si>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</si>
  <si>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</si>
  <si>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</si>
  <si>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</si>
  <si>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</si>
  <si>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</si>
  <si>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</si>
  <si>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</si>
  <si>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</si>
  <si>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</si>
  <si>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</si>
  <si>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</si>
  <si>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</si>
  <si>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</si>
  <si>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</si>
  <si>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</si>
  <si>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</si>
  <si>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</si>
  <si>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</si>
  <si>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</si>
  <si>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</si>
  <si>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</si>
  <si>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</si>
  <si>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</si>
  <si>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</si>
  <si>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</si>
  <si>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</si>
  <si>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</si>
  <si>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</si>
  <si>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</si>
  <si>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</si>
  <si>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</si>
  <si>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</si>
  <si>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</si>
  <si>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</si>
  <si>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</si>
  <si>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</si>
  <si>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</si>
  <si>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</si>
  <si>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</si>
  <si>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</si>
  <si>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</si>
  <si>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</si>
  <si>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</si>
  <si>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</si>
  <si>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</si>
  <si>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</si>
  <si>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</si>
  <si>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</si>
  <si>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</si>
  <si>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</si>
  <si>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</si>
  <si>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</si>
  <si>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</si>
  <si>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</si>
  <si>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</si>
  <si>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</si>
  <si>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</si>
  <si>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</si>
  <si>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</si>
  <si>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</si>
  <si>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</si>
  <si>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</si>
  <si>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</si>
  <si>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</si>
  <si>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</si>
  <si>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</si>
  <si>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</si>
  <si>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</si>
  <si>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</si>
  <si>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</si>
  <si>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</si>
  <si>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</si>
  <si>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</si>
  <si>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</si>
  <si>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</si>
  <si>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</si>
  <si>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</si>
  <si>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</si>
  <si>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</si>
  <si>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</si>
  <si>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</si>
  <si>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</si>
  <si>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</si>
  <si>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</si>
  <si>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</si>
  <si>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</si>
  <si>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</si>
  <si>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</si>
  <si>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</si>
  <si>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</si>
  <si>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</si>
  <si>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</si>
  <si>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</si>
  <si>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</si>
  <si>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</si>
  <si>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</si>
  <si>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</si>
  <si>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</si>
  <si>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</si>
  <si>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</si>
  <si>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</si>
  <si>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</si>
  <si>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</si>
  <si>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</si>
  <si>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</si>
  <si>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</si>
  <si>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</si>
  <si>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</si>
  <si>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</si>
  <si>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</si>
  <si>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</si>
  <si>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</si>
  <si>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</si>
  <si>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</si>
  <si>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</si>
  <si>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</si>
  <si>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</si>
  <si>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</si>
  <si>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</si>
  <si>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</si>
  <si>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</si>
  <si>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</si>
  <si>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</si>
  <si>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</si>
  <si>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</si>
  <si>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</si>
  <si>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</si>
  <si>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</si>
  <si>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</si>
  <si>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</si>
  <si>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</si>
  <si>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</si>
  <si>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</si>
  <si>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</si>
  <si>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</si>
  <si>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</si>
  <si>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</si>
  <si>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</si>
  <si>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</si>
  <si>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</si>
  <si>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</si>
  <si>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</si>
  <si>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</si>
  <si>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</si>
  <si>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</si>
  <si>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</si>
  <si>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</si>
  <si>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</si>
  <si>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</si>
  <si>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</si>
  <si>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</si>
  <si>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</si>
  <si>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</si>
  <si>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</si>
  <si>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</si>
  <si>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</si>
  <si>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</si>
  <si>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</si>
  <si>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</si>
  <si>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</si>
  <si>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</si>
  <si>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</si>
  <si>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</si>
  <si>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</si>
  <si>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</si>
  <si>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</si>
  <si>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</si>
  <si>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</si>
  <si>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</si>
  <si>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</si>
  <si>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</si>
  <si>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</si>
  <si>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</si>
  <si>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</si>
  <si>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</si>
  <si>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</si>
  <si>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</si>
  <si>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</si>
  <si>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</si>
  <si>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</si>
  <si>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</si>
  <si>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</si>
  <si>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</si>
  <si>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</si>
  <si>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</si>
  <si>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</si>
  <si>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</si>
  <si>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</si>
  <si>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</si>
  <si>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</si>
  <si>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</si>
  <si>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</si>
  <si>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</si>
  <si>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</si>
  <si>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</si>
  <si>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</si>
  <si>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</si>
  <si>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</si>
  <si>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</si>
  <si>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</si>
  <si>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</si>
  <si>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</si>
  <si>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</si>
  <si>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</si>
  <si>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</si>
  <si>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</si>
  <si>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</si>
  <si>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</si>
  <si>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</si>
  <si>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</si>
  <si>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</si>
  <si>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</si>
  <si>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</si>
  <si>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</si>
  <si>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</si>
  <si>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</si>
  <si>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</si>
  <si>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</si>
  <si>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</si>
  <si>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</si>
  <si>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</si>
  <si>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</si>
  <si>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</si>
  <si>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</si>
  <si>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</si>
  <si>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</si>
  <si>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</si>
  <si>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</si>
  <si>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</si>
  <si>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</si>
  <si>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</si>
  <si>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</si>
  <si>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</si>
  <si>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</si>
  <si>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</si>
  <si>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</si>
  <si>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</si>
  <si>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</si>
  <si>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</si>
  <si>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</si>
  <si>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</si>
  <si>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</si>
  <si>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</si>
  <si>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</si>
  <si>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</si>
  <si>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</si>
  <si>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</si>
  <si>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</si>
  <si>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</si>
  <si>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</si>
  <si>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</si>
  <si>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</si>
  <si>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</si>
  <si>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</si>
  <si>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</si>
  <si>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</si>
  <si>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</si>
  <si>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</si>
  <si>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</si>
  <si>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</si>
  <si>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</si>
  <si>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</si>
  <si>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</si>
  <si>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</si>
  <si>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</si>
  <si>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</si>
  <si>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</si>
  <si>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</si>
  <si>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</si>
  <si>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</si>
  <si>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</si>
  <si>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</si>
  <si>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</si>
  <si>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</si>
  <si>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</si>
  <si>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</si>
  <si>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</si>
  <si>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</si>
  <si>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</si>
  <si>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</si>
  <si>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</si>
  <si>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</si>
  <si>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</si>
  <si>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</si>
  <si>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</si>
  <si>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</si>
  <si>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</si>
  <si>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</si>
  <si>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</si>
  <si>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</si>
  <si>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</si>
  <si>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</si>
  <si>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</si>
  <si>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</si>
  <si>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</si>
  <si>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</si>
  <si>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</si>
  <si>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</si>
  <si>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</si>
  <si>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</si>
  <si>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</si>
  <si>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</si>
  <si>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</si>
  <si>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</si>
  <si>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</si>
  <si>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</si>
  <si>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</si>
  <si>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</si>
  <si>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</si>
  <si>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</si>
  <si>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</si>
  <si>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</si>
  <si>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</si>
  <si>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</si>
  <si>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</si>
  <si>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</si>
  <si>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</si>
  <si>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</si>
  <si>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</si>
  <si>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</si>
  <si>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</si>
  <si>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</si>
  <si>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</si>
  <si>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</si>
  <si>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</si>
  <si>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</si>
  <si>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</si>
  <si>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</si>
  <si>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</si>
  <si>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</si>
  <si>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</si>
  <si>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</si>
  <si>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</si>
  <si>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</si>
  <si>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</si>
  <si>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</si>
  <si>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</si>
  <si>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</si>
  <si>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</si>
  <si>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</si>
  <si>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</si>
  <si>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</si>
  <si>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</si>
  <si>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</si>
  <si>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</si>
  <si>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</si>
  <si>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</si>
  <si>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</si>
  <si>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</si>
  <si>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</si>
  <si>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</si>
  <si>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</si>
  <si>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</si>
  <si>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</si>
  <si>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</si>
  <si>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</si>
  <si>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</si>
  <si>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</si>
  <si>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</si>
  <si>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</si>
  <si>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</si>
  <si>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</si>
  <si>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</si>
  <si>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</si>
  <si>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</si>
  <si>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</si>
  <si>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</si>
  <si>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</si>
  <si>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</si>
  <si>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</si>
  <si>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</si>
  <si>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</si>
  <si>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</si>
  <si>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</si>
  <si>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</si>
  <si>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</si>
  <si>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</si>
  <si>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</si>
  <si>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</si>
  <si>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</si>
  <si>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</si>
  <si>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</si>
  <si>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</si>
  <si>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</si>
  <si>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</si>
  <si>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</si>
  <si>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</si>
  <si>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</si>
  <si>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</si>
  <si>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</si>
  <si>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</si>
  <si>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</si>
  <si>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</si>
  <si>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</si>
  <si>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</si>
  <si>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</si>
  <si>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</si>
  <si>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</si>
  <si>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</si>
  <si>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</si>
  <si>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</si>
  <si>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</si>
  <si>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</si>
  <si>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</si>
  <si>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</si>
  <si>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</si>
  <si>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</si>
  <si>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</si>
  <si>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</si>
  <si>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</si>
  <si>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</si>
  <si>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</si>
  <si>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</si>
  <si>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</si>
  <si>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</si>
  <si>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</si>
  <si>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</si>
  <si>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</si>
  <si>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</si>
  <si>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</si>
  <si>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</si>
  <si>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</si>
  <si>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</si>
  <si>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</si>
  <si>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</si>
  <si>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</si>
  <si>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</si>
  <si>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</si>
  <si>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</si>
  <si>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</si>
  <si>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</si>
  <si>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</si>
  <si>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</si>
  <si>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</si>
  <si>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</si>
  <si>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</si>
  <si>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</si>
  <si>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</si>
  <si>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</si>
  <si>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</si>
  <si>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</si>
  <si>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</si>
  <si>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</si>
  <si>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</si>
  <si>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</si>
  <si>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</si>
  <si>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</si>
  <si>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</si>
  <si>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</si>
  <si>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</si>
  <si>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</si>
  <si>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</si>
  <si>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</si>
  <si>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</si>
  <si>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</si>
  <si>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</si>
  <si>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</si>
  <si>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</si>
  <si>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</si>
  <si>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</si>
  <si>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</si>
  <si>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</si>
  <si>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</si>
  <si>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</si>
  <si>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</si>
  <si>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</si>
  <si>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</si>
  <si>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</si>
  <si>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</si>
  <si>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</si>
  <si>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</si>
  <si>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</si>
  <si>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</si>
  <si>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</si>
  <si>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</si>
  <si>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</si>
  <si>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</si>
  <si>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</si>
  <si>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</si>
  <si>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</si>
  <si>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</si>
  <si>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</si>
  <si>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</si>
  <si>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</si>
  <si>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</si>
  <si>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</si>
  <si>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</si>
  <si>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</si>
  <si>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</si>
  <si>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</si>
  <si>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</si>
  <si>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</si>
  <si>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</si>
  <si>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</si>
  <si>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</si>
  <si>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</si>
  <si>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</si>
  <si>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</si>
  <si>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</si>
  <si>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</si>
  <si>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</si>
  <si>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</si>
  <si>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</si>
  <si>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</si>
  <si>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</si>
  <si>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</si>
  <si>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</si>
  <si>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</si>
  <si>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</si>
  <si>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</si>
  <si>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</si>
  <si>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</si>
  <si>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</si>
  <si>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</si>
  <si>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</si>
  <si>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</si>
  <si>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</si>
  <si>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</si>
  <si>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</si>
  <si>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</si>
  <si>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</si>
  <si>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</si>
  <si>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</si>
  <si>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</si>
  <si>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</si>
  <si>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</si>
  <si>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</si>
  <si>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</si>
  <si>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</si>
  <si>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</si>
  <si>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</si>
  <si>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</si>
  <si>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</si>
  <si>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</si>
  <si>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</si>
  <si>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</si>
  <si>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</si>
  <si>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</si>
  <si>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</si>
  <si>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</si>
  <si>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</si>
  <si>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</si>
  <si>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</si>
  <si>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</si>
  <si>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</si>
  <si>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</si>
  <si>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</si>
  <si>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</si>
  <si>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</si>
  <si>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</si>
  <si>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</si>
  <si>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</si>
  <si>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</si>
  <si>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</si>
  <si>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</si>
  <si>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</si>
  <si>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</si>
  <si>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</si>
  <si>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</si>
  <si>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</si>
  <si>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</si>
  <si>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</si>
  <si>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</si>
  <si>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</si>
  <si>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</si>
  <si>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</si>
  <si>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</si>
  <si>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</si>
  <si>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</si>
  <si>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</si>
  <si>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</si>
  <si>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</si>
  <si>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</si>
  <si>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</si>
  <si>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</si>
  <si>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</si>
  <si>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</si>
  <si>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</si>
  <si>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</si>
  <si>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</si>
  <si>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</si>
  <si>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</si>
  <si>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</si>
  <si>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</si>
  <si>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</si>
  <si>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</si>
  <si>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</si>
  <si>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</si>
  <si>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</si>
  <si>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</si>
  <si>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</si>
  <si>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</si>
  <si>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</si>
  <si>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</si>
  <si>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</si>
  <si>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</si>
  <si>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</si>
  <si>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</si>
  <si>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</si>
  <si>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</si>
  <si>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</si>
  <si>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</si>
  <si>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</si>
  <si>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</si>
  <si>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</si>
  <si>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</si>
  <si>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</si>
  <si>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</si>
  <si>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</si>
  <si>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</si>
  <si>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</si>
  <si>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</si>
  <si>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</si>
  <si>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</si>
  <si>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</si>
  <si>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</si>
  <si>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</si>
  <si>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</si>
  <si>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</si>
  <si>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</si>
  <si>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</si>
  <si>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</si>
  <si>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</si>
  <si>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</si>
  <si>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</si>
  <si>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</si>
  <si>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</si>
  <si>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</si>
  <si>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</si>
  <si>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</si>
  <si>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</si>
  <si>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</si>
  <si>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</si>
  <si>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</si>
  <si>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</si>
  <si>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</si>
  <si>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</si>
  <si>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</si>
  <si>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</si>
  <si>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</si>
  <si>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</si>
  <si>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</si>
  <si>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</si>
  <si>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</si>
  <si>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</si>
  <si>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</si>
  <si>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</si>
  <si>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</si>
  <si>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</si>
  <si>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</si>
  <si>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</si>
  <si>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</si>
  <si>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</si>
  <si>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</si>
  <si>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</si>
  <si>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</si>
  <si>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</si>
  <si>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</si>
  <si>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</si>
  <si>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</si>
  <si>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</si>
  <si>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</si>
  <si>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</si>
  <si>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</si>
  <si>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</si>
  <si>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</si>
  <si>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</si>
  <si>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</si>
  <si>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</si>
  <si>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</si>
  <si>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</si>
  <si>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</si>
  <si>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</si>
  <si>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</si>
  <si>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</si>
  <si>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</si>
  <si>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</si>
  <si>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</si>
  <si>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</si>
  <si>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</si>
  <si>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</si>
  <si>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</si>
  <si>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</si>
  <si>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</si>
  <si>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</si>
  <si>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</si>
  <si>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</si>
  <si>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</si>
  <si>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</si>
  <si>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</si>
  <si>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</si>
  <si>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</si>
  <si>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</si>
  <si>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</si>
  <si>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</si>
  <si>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</si>
  <si>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</si>
  <si>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</si>
  <si>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</si>
  <si>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</si>
  <si>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</si>
  <si>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</si>
  <si>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</si>
  <si>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</si>
  <si>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</si>
  <si>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</si>
  <si>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</si>
  <si>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</si>
  <si>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</si>
  <si>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</si>
  <si>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</si>
  <si>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</si>
  <si>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</si>
  <si>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</si>
  <si>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</si>
  <si>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</si>
  <si>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</si>
  <si>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</si>
  <si>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</si>
  <si>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</si>
  <si>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</si>
  <si>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</si>
  <si>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</si>
  <si>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</si>
  <si>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</si>
  <si>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</si>
  <si>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</si>
  <si>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</si>
  <si>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</si>
  <si>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</si>
  <si>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</si>
  <si>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</si>
  <si>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</si>
  <si>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</si>
  <si>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</si>
  <si>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</si>
  <si>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</si>
  <si>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</si>
  <si>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</si>
  <si>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</si>
  <si>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</si>
  <si>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</si>
  <si>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</si>
  <si>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</si>
  <si>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</si>
  <si>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</si>
  <si>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</si>
  <si>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</si>
  <si>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</si>
  <si>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</si>
  <si>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</si>
  <si>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</si>
  <si>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</si>
  <si>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</si>
  <si>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</si>
  <si>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</si>
  <si>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</si>
  <si>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</si>
  <si>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</si>
  <si>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</si>
  <si>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</si>
  <si>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</si>
  <si>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</si>
  <si>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</si>
  <si>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</si>
  <si>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</si>
  <si>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</si>
  <si>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</si>
  <si>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</si>
  <si>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</si>
  <si>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</si>
  <si>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</si>
  <si>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</si>
  <si>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</si>
  <si>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</si>
  <si>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</si>
  <si>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</si>
  <si>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</si>
  <si>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</si>
  <si>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</si>
  <si>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</si>
  <si>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</si>
  <si>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</si>
  <si>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</si>
  <si>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</si>
  <si>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</si>
  <si>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</si>
  <si>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</si>
  <si>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</si>
  <si>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</si>
  <si>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</si>
  <si>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</si>
  <si>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</si>
  <si>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</si>
  <si>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</si>
  <si>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</si>
  <si>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</si>
  <si>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</si>
  <si>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</si>
  <si>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</si>
  <si>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</si>
  <si>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</si>
  <si>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</si>
  <si>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</si>
  <si>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</si>
  <si>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</si>
  <si>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</si>
  <si>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</si>
  <si>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</si>
  <si>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</si>
  <si>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</si>
  <si>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</si>
  <si>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</si>
  <si>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</si>
  <si>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</si>
  <si>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</si>
  <si>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</si>
  <si>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</si>
  <si>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</si>
  <si>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</si>
  <si>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</si>
  <si>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</si>
  <si>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</si>
  <si>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</si>
  <si>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</si>
  <si>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</si>
  <si>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</si>
  <si>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</si>
  <si>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</si>
  <si>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</si>
  <si>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</si>
  <si>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</si>
  <si>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</si>
  <si>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</si>
  <si>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</si>
  <si>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</si>
  <si>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</si>
  <si>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</si>
  <si>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</si>
  <si>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</si>
  <si>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</si>
  <si>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</si>
  <si>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</si>
  <si>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</si>
  <si>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</si>
  <si>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</si>
  <si>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</si>
  <si>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</si>
  <si>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</si>
  <si>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</si>
  <si>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</si>
  <si>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</si>
  <si>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</si>
  <si>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</si>
  <si>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</si>
  <si>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</si>
  <si>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</si>
  <si>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</si>
  <si>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</si>
  <si>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</si>
  <si>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</si>
  <si>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</si>
  <si>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</si>
  <si>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</si>
  <si>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</si>
  <si>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</si>
  <si>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</si>
  <si>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</si>
  <si>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</si>
  <si>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</si>
  <si>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</si>
  <si>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</si>
  <si>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</si>
  <si>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</si>
  <si>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</si>
  <si>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</si>
  <si>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</si>
  <si>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</si>
  <si>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</si>
  <si>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</si>
  <si>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</si>
  <si>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</si>
  <si>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</si>
  <si>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</si>
  <si>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</si>
  <si>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</si>
  <si>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</si>
  <si>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</si>
  <si>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</si>
  <si>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</si>
  <si>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</si>
  <si>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</si>
  <si>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</si>
  <si>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</si>
  <si>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</si>
  <si>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</si>
  <si>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</si>
  <si>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</si>
  <si>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</si>
  <si>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</si>
  <si>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</si>
  <si>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</si>
  <si>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</si>
  <si>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</si>
  <si>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</si>
  <si>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</si>
  <si>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</si>
  <si>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</si>
  <si>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</si>
  <si>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</si>
  <si>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</si>
  <si>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</si>
  <si>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</si>
  <si>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</si>
  <si>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</si>
  <si>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</si>
  <si>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</si>
  <si>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</si>
  <si>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</si>
  <si>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</si>
  <si>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</si>
  <si>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</si>
  <si>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</si>
  <si>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</si>
  <si>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</si>
  <si>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</si>
  <si>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</si>
  <si>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</si>
  <si>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</si>
  <si>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</si>
  <si>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</si>
  <si>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</si>
  <si>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</si>
  <si>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</si>
  <si>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</si>
  <si>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</si>
  <si>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</si>
  <si>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</si>
  <si>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</si>
  <si>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</si>
  <si>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</si>
  <si>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</si>
  <si>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</si>
  <si>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</si>
  <si>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</si>
  <si>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</si>
  <si>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</si>
  <si>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</si>
  <si>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</si>
  <si>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</si>
  <si>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</si>
  <si>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</si>
  <si>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</si>
  <si>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</si>
  <si>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</si>
  <si>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</si>
  <si>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</si>
  <si>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</si>
  <si>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</si>
  <si>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</si>
  <si>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</si>
  <si>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</si>
  <si>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</si>
  <si>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</si>
  <si>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</si>
  <si>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</si>
  <si>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</si>
  <si>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</si>
  <si>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</si>
  <si>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</si>
  <si>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</si>
  <si>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</si>
  <si>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</si>
  <si>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</si>
  <si>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</si>
  <si>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</si>
  <si>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</si>
  <si>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</si>
  <si>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</si>
  <si>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</si>
  <si>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</si>
  <si>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</si>
  <si>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</si>
  <si>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</si>
  <si>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</si>
  <si>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</si>
  <si>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</si>
  <si>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</si>
  <si>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</si>
  <si>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</si>
  <si>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</si>
  <si>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</si>
  <si>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</si>
  <si>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</si>
  <si>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</si>
  <si>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</si>
  <si>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</si>
  <si>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</si>
  <si>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</si>
  <si>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</si>
  <si>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</si>
  <si>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</si>
  <si>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</si>
  <si>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</si>
  <si>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</si>
  <si>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</si>
  <si>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</si>
  <si>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</si>
  <si>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</si>
  <si>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</si>
  <si>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</si>
  <si>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</si>
  <si>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</si>
  <si>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</si>
  <si>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</si>
  <si>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</si>
  <si>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</si>
  <si>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</si>
  <si>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</si>
  <si>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</si>
  <si>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</si>
  <si>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</si>
  <si>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</si>
  <si>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</si>
  <si>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</si>
  <si>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</si>
  <si>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</si>
  <si>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</si>
  <si>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</si>
  <si>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</si>
  <si>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</si>
  <si>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</si>
  <si>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</si>
  <si>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</si>
  <si>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</si>
  <si>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</si>
  <si>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</si>
  <si>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</si>
  <si>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</si>
  <si>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</si>
  <si>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</si>
  <si>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</si>
  <si>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</si>
  <si>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</si>
  <si>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</si>
  <si>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</si>
  <si>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</si>
  <si>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</si>
  <si>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</si>
  <si>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</si>
  <si>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</si>
  <si>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</si>
  <si>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</si>
  <si>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</si>
  <si>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</si>
  <si>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</si>
  <si>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</si>
  <si>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</si>
  <si>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</si>
  <si>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</si>
  <si>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</si>
  <si>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</si>
  <si>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</si>
  <si>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</si>
  <si>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</si>
  <si>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</si>
  <si>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</si>
  <si>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</si>
  <si>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</si>
  <si>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</si>
  <si>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</si>
  <si>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</si>
  <si>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</si>
  <si>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</si>
  <si>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</si>
  <si>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</si>
  <si>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</si>
  <si>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</si>
  <si>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</si>
  <si>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</si>
  <si>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</si>
  <si>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</si>
  <si>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</si>
  <si>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</si>
  <si>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</si>
  <si>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</si>
  <si>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</si>
  <si>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</si>
  <si>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</si>
  <si>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</si>
  <si>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</si>
  <si>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</si>
  <si>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</si>
  <si>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</si>
  <si>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</si>
  <si>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</si>
  <si>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</si>
  <si>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</si>
  <si>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</si>
  <si>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</si>
  <si>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</si>
  <si>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</si>
  <si>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</si>
  <si>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</si>
  <si>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</si>
  <si>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</si>
  <si>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</si>
  <si>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</si>
  <si>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</si>
  <si>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</si>
  <si>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</si>
  <si>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</si>
  <si>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</si>
  <si>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</si>
  <si>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</si>
  <si>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</si>
  <si>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</si>
  <si>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</si>
  <si>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</si>
  <si>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</si>
  <si>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</si>
  <si>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</si>
  <si>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</si>
  <si>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</si>
  <si>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</si>
  <si>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</si>
  <si>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</si>
  <si>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</si>
  <si>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</si>
  <si>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</si>
  <si>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</si>
  <si>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</si>
  <si>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</si>
  <si>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</si>
  <si>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</si>
  <si>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</si>
  <si>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</si>
  <si>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</si>
  <si>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</si>
  <si>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</si>
  <si>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</si>
  <si>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</si>
  <si>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</si>
  <si>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</si>
  <si>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</si>
  <si>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</si>
  <si>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</si>
  <si>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</si>
  <si>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</si>
  <si>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</si>
  <si>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</si>
  <si>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</si>
  <si>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</si>
  <si>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</si>
  <si>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</si>
  <si>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</si>
  <si>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</si>
  <si>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</si>
  <si>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</si>
  <si>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</si>
  <si>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</si>
  <si>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</si>
  <si>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</si>
  <si>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</si>
  <si>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</si>
  <si>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</si>
  <si>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</si>
  <si>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</si>
  <si>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</si>
  <si>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</si>
  <si>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</si>
  <si>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</si>
  <si>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</si>
  <si>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</si>
  <si>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</si>
  <si>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</si>
  <si>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</si>
  <si>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</si>
  <si>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</si>
  <si>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</si>
  <si>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</si>
  <si>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</si>
  <si>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</si>
  <si>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</si>
  <si>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</si>
  <si>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</si>
  <si>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</si>
  <si>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</si>
  <si>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</si>
  <si>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</si>
  <si>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</si>
  <si>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</si>
  <si>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</si>
  <si>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</si>
  <si>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</si>
  <si>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</si>
  <si>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</si>
  <si>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</si>
  <si>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</si>
  <si>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</si>
  <si>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</si>
  <si>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</si>
  <si>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</si>
  <si>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</si>
  <si>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</si>
  <si>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</si>
  <si>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</si>
  <si>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</si>
  <si>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</si>
  <si>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</si>
  <si>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</si>
  <si>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</si>
  <si>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</si>
  <si>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</si>
  <si>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</si>
  <si>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</si>
  <si>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</si>
  <si>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</si>
  <si>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</si>
  <si>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</si>
  <si>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</si>
  <si>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</si>
  <si>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</si>
  <si>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</si>
  <si>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</si>
  <si>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</si>
  <si>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</si>
  <si>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</si>
  <si>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</si>
  <si>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</si>
  <si>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</si>
  <si>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</si>
  <si>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</si>
  <si>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</si>
  <si>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</si>
  <si>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</si>
  <si>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</si>
  <si>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</si>
  <si>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</si>
  <si>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</si>
  <si>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</si>
  <si>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</si>
  <si>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</si>
  <si>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</si>
  <si>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</si>
  <si>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</si>
  <si>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</si>
  <si>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</si>
  <si>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</si>
  <si>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</si>
  <si>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</si>
  <si>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</si>
  <si>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</si>
  <si>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</si>
  <si>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</si>
  <si>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</si>
  <si>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</si>
  <si>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</si>
  <si>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</si>
  <si>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</si>
  <si>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</si>
  <si>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</si>
  <si>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</si>
  <si>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</si>
  <si>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</si>
  <si>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</si>
  <si>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</si>
  <si>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</si>
  <si>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</si>
  <si>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</si>
  <si>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</si>
  <si>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</si>
  <si>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</si>
  <si>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</si>
  <si>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</si>
  <si>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</si>
  <si>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</si>
  <si>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</si>
  <si>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</si>
  <si>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</si>
  <si>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</si>
  <si>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</si>
  <si>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</si>
  <si>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</si>
  <si>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</si>
  <si>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</si>
  <si>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</si>
  <si>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</si>
  <si>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</si>
  <si>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</si>
  <si>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</si>
  <si>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</si>
  <si>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</si>
  <si>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</si>
  <si>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</si>
  <si>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</si>
  <si>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</si>
  <si>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</si>
  <si>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</si>
  <si>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</si>
  <si>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</si>
  <si>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</si>
  <si>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</si>
  <si>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</si>
  <si>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</si>
  <si>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</si>
  <si>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</si>
  <si>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</si>
  <si>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</si>
  <si>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</si>
  <si>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</si>
  <si>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</si>
  <si>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</si>
  <si>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</si>
  <si>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</si>
  <si>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</si>
  <si>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</si>
  <si>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</si>
  <si>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</si>
  <si>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</si>
  <si>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</si>
  <si>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</si>
  <si>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</si>
  <si>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</si>
  <si>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</si>
  <si>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</si>
  <si>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</si>
  <si>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</si>
  <si>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</si>
  <si>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</si>
  <si>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</si>
  <si>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</si>
  <si>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</si>
  <si>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</si>
  <si>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</si>
  <si>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</si>
  <si>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</si>
  <si>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</si>
  <si>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</si>
  <si>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</si>
  <si>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</si>
  <si>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</si>
  <si>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</si>
  <si>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</si>
  <si>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</si>
  <si>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</si>
  <si>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</si>
  <si>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</si>
  <si>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</si>
  <si>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</si>
  <si>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</si>
  <si>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</si>
  <si>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</si>
  <si>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</si>
  <si>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</si>
  <si>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</si>
  <si>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</si>
  <si>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</si>
  <si>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</si>
  <si>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</si>
  <si>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</si>
  <si>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</si>
  <si>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</si>
  <si>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</si>
  <si>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</si>
  <si>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</si>
  <si>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</si>
  <si>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</si>
  <si>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</si>
  <si>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</si>
  <si>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</si>
  <si>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</si>
  <si>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</si>
  <si>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</si>
  <si>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</si>
  <si>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</si>
  <si>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</si>
  <si>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</si>
  <si>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</si>
  <si>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</si>
  <si>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</si>
  <si>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</si>
  <si>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</si>
  <si>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</si>
  <si>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</si>
  <si>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</si>
  <si>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</si>
  <si>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</si>
  <si>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</si>
  <si>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</si>
  <si>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</si>
  <si>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</si>
  <si>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</si>
  <si>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</si>
  <si>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</si>
  <si>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</si>
  <si>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</si>
  <si>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</si>
  <si>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</si>
  <si>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</si>
  <si>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</si>
  <si>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</si>
  <si>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</si>
  <si>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</si>
  <si>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</si>
  <si>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</si>
  <si>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</si>
  <si>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</si>
  <si>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</si>
  <si>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</si>
  <si>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</si>
  <si>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</si>
  <si>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</si>
  <si>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</si>
  <si>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</si>
  <si>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</si>
  <si>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</si>
  <si>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</si>
  <si>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</si>
  <si>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</si>
  <si>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</si>
  <si>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</si>
  <si>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</si>
  <si>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</si>
  <si>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</si>
  <si>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</si>
  <si>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</si>
  <si>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</si>
  <si>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</si>
  <si>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</si>
  <si>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</si>
  <si>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</si>
  <si>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</si>
  <si>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</si>
  <si>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</si>
  <si>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</si>
  <si>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</si>
  <si>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</si>
  <si>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</si>
  <si>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</si>
  <si>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</si>
  <si>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</si>
  <si>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</si>
  <si>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</si>
  <si>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</si>
  <si>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</si>
  <si>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</si>
  <si>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</si>
  <si>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</si>
  <si>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</si>
  <si>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</si>
  <si>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</si>
  <si>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</si>
  <si>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</si>
  <si>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</si>
  <si>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</si>
  <si>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</si>
  <si>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</si>
  <si>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</si>
  <si>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</si>
  <si>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</si>
  <si>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</si>
  <si>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</si>
  <si>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</si>
  <si>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</si>
  <si>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</si>
  <si>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</si>
  <si>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</si>
  <si>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</si>
  <si>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</si>
  <si>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</si>
  <si>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</si>
  <si>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</si>
  <si>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</si>
  <si>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</si>
  <si>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</si>
  <si>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</si>
  <si>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</si>
  <si>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</si>
  <si>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</si>
  <si>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</si>
  <si>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</si>
  <si>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</si>
  <si>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</si>
  <si>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</si>
  <si>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</si>
  <si>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</si>
  <si>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</si>
  <si>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</si>
  <si>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</si>
  <si>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</si>
  <si>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</si>
  <si>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</si>
  <si>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</si>
  <si>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</si>
  <si>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</si>
  <si>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</si>
  <si>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</si>
  <si>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</si>
  <si>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</si>
  <si>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</si>
  <si>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</si>
  <si>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</si>
  <si>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</si>
  <si>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</si>
  <si>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</si>
  <si>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</si>
  <si>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</si>
  <si>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</si>
  <si>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</si>
  <si>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</si>
  <si>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</si>
  <si>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</si>
  <si>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</si>
  <si>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</si>
  <si>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</si>
  <si>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</si>
  <si>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</si>
  <si>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</si>
  <si>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</si>
  <si>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</si>
  <si>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</si>
  <si>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</si>
  <si>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</si>
  <si>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</si>
  <si>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</si>
  <si>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</si>
  <si>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</si>
  <si>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</si>
  <si>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</si>
  <si>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</si>
  <si>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</si>
  <si>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</si>
  <si>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</si>
  <si>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</si>
  <si>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</si>
  <si>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</si>
  <si>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</si>
  <si>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</si>
  <si>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</si>
  <si>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</si>
  <si>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</si>
  <si>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</si>
  <si>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</si>
  <si>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</si>
  <si>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</si>
  <si>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</si>
  <si>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</si>
  <si>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</si>
  <si>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</si>
  <si>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</si>
  <si>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</si>
  <si>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</si>
  <si>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</si>
  <si>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</si>
  <si>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</si>
  <si>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</si>
  <si>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</si>
  <si>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</si>
  <si>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</si>
  <si>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</si>
  <si>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</si>
  <si>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</si>
  <si>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</si>
  <si>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</si>
  <si>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</si>
  <si>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</si>
  <si>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</si>
  <si>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</si>
  <si>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</si>
  <si>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</si>
  <si>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</si>
  <si>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</si>
  <si>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</si>
  <si>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</si>
  <si>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</si>
  <si>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</si>
  <si>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</si>
  <si>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</si>
  <si>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</si>
  <si>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</si>
  <si>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</si>
  <si>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</si>
  <si>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</si>
  <si>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</si>
  <si>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</si>
  <si>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</si>
  <si>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</si>
  <si>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</si>
  <si>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</si>
  <si>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</si>
  <si>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</si>
  <si>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</si>
  <si>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</si>
  <si>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</si>
  <si>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</si>
  <si>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</si>
  <si>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</si>
  <si>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</si>
  <si>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</si>
  <si>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</si>
  <si>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</si>
  <si>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</si>
  <si>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</si>
  <si>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</si>
  <si>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</si>
  <si>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</si>
  <si>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</si>
  <si>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</si>
  <si>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</si>
  <si>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</si>
  <si>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</si>
  <si>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</si>
  <si>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</si>
  <si>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</si>
  <si>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</si>
  <si>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</si>
  <si>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</si>
  <si>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</si>
  <si>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</si>
  <si>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</si>
  <si>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</si>
  <si>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</si>
  <si>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</si>
  <si>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</si>
  <si>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</si>
  <si>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</si>
  <si>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</si>
  <si>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</si>
  <si>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</si>
  <si>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</si>
  <si>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</si>
  <si>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</si>
  <si>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</si>
  <si>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</si>
  <si>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</si>
  <si>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</si>
  <si>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</si>
  <si>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</si>
  <si>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</si>
  <si>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</si>
  <si>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</si>
  <si>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</si>
  <si>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</si>
  <si>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</si>
  <si>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</si>
  <si>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</si>
  <si>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</si>
  <si>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</si>
  <si>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</si>
  <si>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</si>
  <si>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</si>
  <si>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</si>
  <si>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</si>
  <si>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</si>
  <si>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</si>
  <si>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</si>
  <si>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</si>
  <si>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</si>
  <si>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</si>
  <si>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</si>
  <si>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</si>
  <si>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</si>
  <si>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11</t>
  </si>
  <si>
    <t>EX SER</t>
  </si>
  <si>
    <t>PROPORCIONALIDAD</t>
  </si>
  <si>
    <t>15041RESIN162702023</t>
  </si>
  <si>
    <t>23BL000X</t>
  </si>
  <si>
    <t>08/01/2024</t>
  </si>
  <si>
    <t>15/01/2024</t>
  </si>
  <si>
    <t>17/01/2024</t>
  </si>
  <si>
    <t>22/01/2024</t>
  </si>
  <si>
    <t>24/01/2024</t>
  </si>
  <si>
    <t>26/01/2024</t>
  </si>
  <si>
    <t>31/01/2024</t>
  </si>
  <si>
    <t>048C0A5386024936815DF5CCD60446D8</t>
  </si>
  <si>
    <t xml:space="preserve"> 8CF55A6CD3214E43A51F79FCC0C32D79</t>
  </si>
  <si>
    <t>3D8FFDD0F0364AC0AB48AD9A618635A5</t>
  </si>
  <si>
    <t>12/01/2024</t>
  </si>
  <si>
    <t>28/12/2023</t>
  </si>
  <si>
    <t>19/01/2024</t>
  </si>
  <si>
    <t>09/01/2024</t>
  </si>
  <si>
    <t>A1263111EB834545908246244A146379</t>
  </si>
  <si>
    <t>19/12/2023</t>
  </si>
  <si>
    <t>3A6535DAF2842A4AE7941182EB13FF2</t>
  </si>
  <si>
    <t>48959463D2224C5F8FB4DFA50E578B72</t>
  </si>
  <si>
    <t>11/01/2024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</si>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</sst>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44" fontId="27" fillId="0" borderId="25" xfId="1" applyFont="1" applyFill="1" applyBorder="1"/>
    <xf numFmtId="49" fontId="9" fillId="7" borderId="11" xfId="0" quotePrefix="1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0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/m/yyyy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18</xdr:col>
      <xdr:colOff>117357</xdr:colOff>
      <xdr:row>0</xdr:row>
      <xdr:rowOff>129886</xdr:rowOff>
    </xdr:from>
    <xdr:to>
      <xdr:col>19</xdr:col>
      <xdr:colOff>502227</xdr:colOff>
      <xdr:row>6</xdr:row>
      <xdr:rowOff>68078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7C12646-F51B-4707-CB67-467E3DF56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72743" y="129886"/>
          <a:ext cx="1146870" cy="1150465"/>
        </a:xfrm>
        <a:prstGeom prst="rect">
          <a:avLst/>
        </a:prstGeom>
        <a:effectLst>
          <a:glow rad="127000">
            <a:schemeClr val="accent4"/>
          </a:glo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D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1" totalsRowShown="0">
  <tableColumns count="20">
    <tableColumn id="1" xr3:uid="{00000000-0010-0000-0000-000001000000}" name="MES"/>
    <tableColumn id="2" xr3:uid="{00000000-0010-0000-0000-000002000000}" name="FECHA" dataDxfId="99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98" dataCellStyle="Moneda"/>
    <tableColumn id="9" xr3:uid="{00000000-0010-0000-0000-000009000000}" name="I. EXENTAS" dataDxfId="97" dataCellStyle="Moneda"/>
    <tableColumn id="10" xr3:uid="{00000000-0010-0000-0000-00000A000000}" name="IMPOR EX" dataDxfId="96" dataCellStyle="Moneda"/>
    <tableColumn id="11" xr3:uid="{00000000-0010-0000-0000-00000B000000}" name="C. GRAVADA" dataCellStyle="Moneda"/>
    <tableColumn id="12" xr3:uid="{00000000-0010-0000-0000-00000C000000}" name="INTER GRAVA" dataDxfId="95" dataCellStyle="Moneda"/>
    <tableColumn id="13" xr3:uid="{00000000-0010-0000-0000-00000D000000}" name="IMPOR BIENES" dataDxfId="94" dataCellStyle="Moneda"/>
    <tableColumn id="14" xr3:uid="{00000000-0010-0000-0000-00000E000000}" name="IMPOR SERV" dataDxfId="93" dataCellStyle="Moneda"/>
    <tableColumn id="15" xr3:uid="{00000000-0010-0000-0000-00000F000000}" name="IVA" dataDxfId="92" dataCellStyle="Moneda"/>
    <tableColumn id="16" xr3:uid="{00000000-0010-0000-0000-000010000000}" name="TOTAL C." dataDxfId="91" dataCellStyle="Moneda"/>
    <tableColumn id="20" xr3:uid="{00000000-0010-0000-0000-000014000000}" name="DUI" dataDxfId="9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6" dataCellStyle="Moneda"/>
    <tableColumn id="18" xr3:uid="{00000000-0010-0000-0100-000012000000}" name="ANEXO"/>
    <tableColumn id="1" xr3:uid="{00000000-0010-0000-0100-000001000000}" name="SUCURSAL" dataDxfId="8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7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25" totalsRowShown="0">
  <autoFilter ref="A1:B4425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8492</v>
      </c>
      <c r="XFD3" t="s">
        <v>8492</v>
      </c>
    </row>
    <row r="4" spans="2:6 16384:16384" x14ac:dyDescent="0.25">
      <c r="B4" s="23" t="s">
        <v>2</v>
      </c>
      <c r="D4" s="46" t="s">
        <v>9079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127" t="s">
        <v>3382</v>
      </c>
      <c r="XFD8" t="s">
        <v>8490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SUMER, S.A. DE C.V.</v>
      </c>
      <c r="XFD9" t="s">
        <v>9020</v>
      </c>
    </row>
    <row r="10" spans="2:6 16384:16384" x14ac:dyDescent="0.25">
      <c r="B10" s="23" t="s">
        <v>7</v>
      </c>
      <c r="D10" s="104">
        <v>0</v>
      </c>
      <c r="F10" s="2"/>
      <c r="XFD10" t="s">
        <v>9021</v>
      </c>
    </row>
    <row r="11" spans="2:6 16384:16384" x14ac:dyDescent="0.25">
      <c r="B11" s="23" t="s">
        <v>8</v>
      </c>
      <c r="D11" s="104">
        <v>0</v>
      </c>
      <c r="F11" s="2"/>
      <c r="XFD11" t="s">
        <v>9022</v>
      </c>
    </row>
    <row r="12" spans="2:6 16384:16384" x14ac:dyDescent="0.25">
      <c r="B12" s="23" t="s">
        <v>9</v>
      </c>
      <c r="D12" s="104">
        <v>0</v>
      </c>
      <c r="F12" s="2"/>
      <c r="XFD12" t="s">
        <v>9023</v>
      </c>
    </row>
    <row r="13" spans="2:6 16384:16384" x14ac:dyDescent="0.25">
      <c r="B13" s="23" t="s">
        <v>10</v>
      </c>
      <c r="D13" s="105"/>
      <c r="F13" s="15"/>
      <c r="XFD13" t="s">
        <v>9024</v>
      </c>
    </row>
    <row r="14" spans="2:6 16384:16384" x14ac:dyDescent="0.25">
      <c r="B14" s="23" t="s">
        <v>11</v>
      </c>
      <c r="D14" s="104">
        <v>0</v>
      </c>
      <c r="F14" s="2"/>
      <c r="XFD14" t="s">
        <v>9025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44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03" priority="1"/>
    <cfRule type="duplicateValues" dxfId="10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64"/>
  <sheetViews>
    <sheetView topLeftCell="C1" zoomScaleNormal="100" workbookViewId="0">
      <selection activeCell="B3" sqref="B3:R1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8492</v>
      </c>
      <c r="B3" t="s">
        <v>9079</v>
      </c>
      <c r="C3" t="s">
        <v>7706</v>
      </c>
      <c r="D3" t="s">
        <v>0</v>
      </c>
      <c r="E3">
        <v>30555550</v>
      </c>
      <c r="F3" t="s">
        <v>3382</v>
      </c>
      <c r="G3" t="s">
        <v>3383</v>
      </c>
      <c r="H3" s="2">
        <v>0</v>
      </c>
      <c r="I3" s="2">
        <v>0</v>
      </c>
      <c r="J3" s="2">
        <v>0</v>
      </c>
      <c r="K3" s="15">
        <v>238.05</v>
      </c>
      <c r="L3" s="2">
        <v>0</v>
      </c>
      <c r="M3" s="2">
        <v>0</v>
      </c>
      <c r="N3" s="2">
        <v>0</v>
      </c>
      <c r="O3" s="2">
        <v>30.946500000000004</v>
      </c>
      <c r="P3" s="2">
        <v>268.99650000000003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8492</v>
      </c>
      <c r="B4" t="s">
        <v>9079</v>
      </c>
      <c r="C4" t="s">
        <v>7706</v>
      </c>
      <c r="D4" t="s">
        <v>0</v>
      </c>
      <c r="E4">
        <v>30555552</v>
      </c>
      <c r="F4" t="s">
        <v>3382</v>
      </c>
      <c r="G4" t="s">
        <v>3383</v>
      </c>
      <c r="H4" s="2">
        <v>0</v>
      </c>
      <c r="I4" s="2">
        <v>0</v>
      </c>
      <c r="J4" s="2">
        <v>0</v>
      </c>
      <c r="K4" s="15">
        <v>17.7</v>
      </c>
      <c r="L4" s="2">
        <v>0</v>
      </c>
      <c r="M4" s="2">
        <v>0</v>
      </c>
      <c r="N4" s="2">
        <v>0</v>
      </c>
      <c r="O4" s="2">
        <v>2.3010000000000002</v>
      </c>
      <c r="P4" s="2">
        <v>20.000999999999998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8492</v>
      </c>
      <c r="B5" t="s">
        <v>9076</v>
      </c>
      <c r="C5" s="21" t="s">
        <v>9080</v>
      </c>
      <c r="D5" t="s">
        <v>0</v>
      </c>
      <c r="E5" t="s">
        <v>9078</v>
      </c>
      <c r="F5" t="s">
        <v>3382</v>
      </c>
      <c r="G5" t="s">
        <v>3383</v>
      </c>
      <c r="H5" s="2">
        <v>0</v>
      </c>
      <c r="I5" s="2">
        <v>0</v>
      </c>
      <c r="J5" s="2">
        <v>0</v>
      </c>
      <c r="K5" s="15">
        <v>3.14</v>
      </c>
      <c r="L5" s="2">
        <v>0</v>
      </c>
      <c r="M5" s="2">
        <v>0</v>
      </c>
      <c r="N5" s="2">
        <v>0</v>
      </c>
      <c r="O5" s="2">
        <v>0.40820000000000001</v>
      </c>
      <c r="P5" s="2">
        <v>3.5482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8492</v>
      </c>
      <c r="B6" t="s">
        <v>9076</v>
      </c>
      <c r="C6" s="21" t="s">
        <v>9080</v>
      </c>
      <c r="D6" t="s">
        <v>0</v>
      </c>
      <c r="E6" t="s">
        <v>9077</v>
      </c>
      <c r="F6" t="s">
        <v>3382</v>
      </c>
      <c r="G6" t="s">
        <v>3383</v>
      </c>
      <c r="H6" s="2">
        <v>0</v>
      </c>
      <c r="I6" s="2">
        <v>0</v>
      </c>
      <c r="J6" s="2">
        <v>0</v>
      </c>
      <c r="K6" s="15">
        <v>123.89</v>
      </c>
      <c r="L6" s="2">
        <v>0</v>
      </c>
      <c r="M6" s="2">
        <v>0</v>
      </c>
      <c r="N6" s="2">
        <v>0</v>
      </c>
      <c r="O6" s="2">
        <v>16.105700000000002</v>
      </c>
      <c r="P6" s="2">
        <v>139.9957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8492</v>
      </c>
      <c r="B7" t="s">
        <v>9074</v>
      </c>
      <c r="C7" s="21" t="s">
        <v>9080</v>
      </c>
      <c r="D7" t="s">
        <v>0</v>
      </c>
      <c r="E7" t="s">
        <v>9075</v>
      </c>
      <c r="F7" t="s">
        <v>3382</v>
      </c>
      <c r="G7" t="s">
        <v>3383</v>
      </c>
      <c r="H7" s="2">
        <v>0</v>
      </c>
      <c r="I7" s="2">
        <v>0</v>
      </c>
      <c r="J7" s="2">
        <v>0</v>
      </c>
      <c r="K7" s="15">
        <v>128.44999999999999</v>
      </c>
      <c r="L7" s="2">
        <v>0</v>
      </c>
      <c r="M7" s="2">
        <v>0</v>
      </c>
      <c r="N7" s="2">
        <v>0</v>
      </c>
      <c r="O7" s="2">
        <v>16.698499999999999</v>
      </c>
      <c r="P7" s="2">
        <v>145.14849999999998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8492</v>
      </c>
      <c r="B8" t="s">
        <v>9071</v>
      </c>
      <c r="C8" s="21" t="s">
        <v>9080</v>
      </c>
      <c r="D8" t="s">
        <v>0</v>
      </c>
      <c r="E8" t="s">
        <v>9070</v>
      </c>
      <c r="F8" t="s">
        <v>3382</v>
      </c>
      <c r="G8" t="s">
        <v>3383</v>
      </c>
      <c r="H8" s="2">
        <v>0</v>
      </c>
      <c r="I8" s="2">
        <v>0</v>
      </c>
      <c r="J8" s="2">
        <v>0</v>
      </c>
      <c r="K8" s="15">
        <v>1871.73</v>
      </c>
      <c r="L8" s="2">
        <v>0</v>
      </c>
      <c r="M8" s="2">
        <v>0</v>
      </c>
      <c r="N8" s="2">
        <v>0</v>
      </c>
      <c r="O8" s="2">
        <v>243.32490000000001</v>
      </c>
      <c r="P8" s="2">
        <v>2115.0549000000001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7944</v>
      </c>
      <c r="B9" s="21" t="s">
        <v>9073</v>
      </c>
      <c r="C9" s="21" t="s">
        <v>9080</v>
      </c>
      <c r="D9" t="s">
        <v>0</v>
      </c>
      <c r="E9" t="s">
        <v>9069</v>
      </c>
      <c r="F9" t="s">
        <v>1340</v>
      </c>
      <c r="G9" t="s">
        <v>1341</v>
      </c>
      <c r="H9" s="2">
        <v>0</v>
      </c>
      <c r="I9" s="2">
        <v>0</v>
      </c>
      <c r="J9" s="2">
        <v>0</v>
      </c>
      <c r="K9" s="15">
        <v>28.23</v>
      </c>
      <c r="L9" s="2">
        <v>0</v>
      </c>
      <c r="M9" s="2">
        <v>0</v>
      </c>
      <c r="N9" s="2">
        <v>0</v>
      </c>
      <c r="O9" s="2">
        <v>3.6699000000000002</v>
      </c>
      <c r="P9" s="2">
        <v>31.899900000000002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7944</v>
      </c>
      <c r="B10" s="125" t="s">
        <v>9072</v>
      </c>
      <c r="C10" s="21" t="s">
        <v>9080</v>
      </c>
      <c r="D10" t="s">
        <v>0</v>
      </c>
      <c r="E10" t="s">
        <v>9068</v>
      </c>
      <c r="F10" t="s">
        <v>1340</v>
      </c>
      <c r="G10" t="s">
        <v>1341</v>
      </c>
      <c r="H10" s="2">
        <v>0</v>
      </c>
      <c r="I10" s="2">
        <v>0</v>
      </c>
      <c r="J10" s="2">
        <v>0</v>
      </c>
      <c r="K10" s="15">
        <v>17.39</v>
      </c>
      <c r="L10" s="2">
        <v>0</v>
      </c>
      <c r="M10" s="2">
        <v>0</v>
      </c>
      <c r="N10" s="2">
        <v>0</v>
      </c>
      <c r="O10" s="2">
        <v>2.2606999999999999</v>
      </c>
      <c r="P10" s="2">
        <v>19.650700000000001</v>
      </c>
      <c r="Q10"/>
      <c r="R10" t="s">
        <v>8045</v>
      </c>
      <c r="S10" s="2">
        <v>0</v>
      </c>
      <c r="T10" s="2">
        <v>0</v>
      </c>
      <c r="U10" s="2"/>
    </row>
    <row r="11" spans="1:21" ht="15.75" thickBot="1" x14ac:dyDescent="0.3">
      <c r="C11" s="21"/>
      <c r="K11" s="15"/>
      <c r="Q11"/>
      <c r="S11" s="2"/>
      <c r="T11" s="2"/>
      <c r="U11" s="2"/>
    </row>
    <row r="12" spans="1:21" ht="15.75" thickBot="1" x14ac:dyDescent="0.3">
      <c r="A12" s="128" t="s">
        <v>71</v>
      </c>
      <c r="B12" s="129"/>
      <c r="C12" s="129"/>
      <c r="D12" s="129"/>
      <c r="E12" s="129"/>
      <c r="F12" s="129"/>
      <c r="G12" s="130"/>
      <c r="H12" s="3">
        <f>+SUBTOTAL(9,Tabla1[C. EXENTAS])</f>
        <v>0</v>
      </c>
      <c r="I12" s="3">
        <f>+SUBTOTAL(9,Tabla1[I. EXENTAS])</f>
        <v>0</v>
      </c>
      <c r="J12" s="3">
        <f>+SUBTOTAL(9,Tabla1[IMPOR EX])</f>
        <v>0</v>
      </c>
      <c r="K12" s="3">
        <f>+SUBTOTAL(9,Tabla1[C. GRAVADA])</f>
        <v>2428.58</v>
      </c>
      <c r="L12" s="3">
        <f>+SUBTOTAL(9,Tabla1[INTER GRAVA])</f>
        <v>0</v>
      </c>
      <c r="M12" s="3">
        <f>+SUBTOTAL(9,Tabla1[IMPOR BIENES])</f>
        <v>0</v>
      </c>
      <c r="N12" s="3">
        <f>+SUBTOTAL(9,Tabla1[IMPOR SERV])</f>
        <v>0</v>
      </c>
      <c r="O12" s="3">
        <f>+SUBTOTAL(9,Tabla1[IVA])</f>
        <v>315.71539999999999</v>
      </c>
      <c r="P12" s="3">
        <f>+SUBTOTAL(9,Tabla1[TOTAL C.])</f>
        <v>2744.2954</v>
      </c>
      <c r="Q12" s="3"/>
      <c r="R12" s="3">
        <f>+SUBTOTAL(9,Tabla1[ANEXO 3])</f>
        <v>0</v>
      </c>
      <c r="S12" s="3"/>
      <c r="T12" s="3">
        <f>+SUBTOTAL(9,Tabla1[PERCEPCIONES])</f>
        <v>0</v>
      </c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114"/>
    </row>
    <row r="83" spans="21:21" x14ac:dyDescent="0.25">
      <c r="U83" s="114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1064" spans="1:20" s="42" customFormat="1" x14ac:dyDescent="0.25">
      <c r="A1064"/>
      <c r="B1064"/>
      <c r="C1064"/>
      <c r="D1064"/>
      <c r="E1064"/>
      <c r="F1064"/>
      <c r="G1064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/>
      <c r="S1064"/>
      <c r="T1064"/>
    </row>
  </sheetData>
  <dataConsolidate/>
  <mergeCells count="1">
    <mergeCell ref="A12:G12"/>
  </mergeCells>
  <phoneticPr fontId="8" type="noConversion"/>
  <conditionalFormatting sqref="E1:E1048576">
    <cfRule type="duplicateValues" dxfId="101" priority="23"/>
    <cfRule type="duplicateValues" dxfId="100" priority="24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9026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9027</v>
      </c>
      <c r="F7" s="2"/>
      <c r="XFD7" t="s">
        <v>8490</v>
      </c>
    </row>
    <row r="8" spans="1:9 16384:16384" ht="16.5" customHeight="1" x14ac:dyDescent="0.25">
      <c r="B8" s="23" t="s">
        <v>26</v>
      </c>
      <c r="D8" s="107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8" t="s">
        <v>8195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8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7944</v>
      </c>
      <c r="XFD2" t="s">
        <v>7944</v>
      </c>
    </row>
    <row r="3" spans="2:4 16384:16384" x14ac:dyDescent="0.25">
      <c r="B3" s="68" t="s">
        <v>2</v>
      </c>
      <c r="D3" s="7" t="s">
        <v>9067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9056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9059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9060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hidden="1" customHeight="1" x14ac:dyDescent="0.25">
      <c r="B16" s="68" t="s">
        <v>61</v>
      </c>
      <c r="D16" s="71">
        <v>0</v>
      </c>
      <c r="XFD16" t="s">
        <v>8153</v>
      </c>
    </row>
    <row r="17" spans="2:4" hidden="1" x14ac:dyDescent="0.25">
      <c r="B17" s="68" t="s">
        <v>60</v>
      </c>
      <c r="D17" s="72">
        <v>0</v>
      </c>
    </row>
    <row r="18" spans="2:4" hidden="1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0"/>
  <sheetViews>
    <sheetView workbookViewId="0">
      <selection activeCell="V15" sqref="B3:V1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9067</v>
      </c>
      <c r="C3" t="s">
        <v>1</v>
      </c>
      <c r="D3" t="s">
        <v>9056</v>
      </c>
      <c r="E3" t="s">
        <v>9059</v>
      </c>
      <c r="F3" t="s">
        <v>9060</v>
      </c>
      <c r="G3">
        <v>145</v>
      </c>
      <c r="H3">
        <v>145</v>
      </c>
      <c r="I3">
        <v>145</v>
      </c>
      <c r="J3">
        <v>145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1450</v>
      </c>
      <c r="S3" s="2">
        <v>0</v>
      </c>
      <c r="T3" s="2">
        <v>0</v>
      </c>
      <c r="U3" s="2">
        <v>1450</v>
      </c>
      <c r="V3" t="s">
        <v>55</v>
      </c>
    </row>
    <row r="4" spans="1:22" x14ac:dyDescent="0.25">
      <c r="A4" t="s">
        <v>7944</v>
      </c>
      <c r="B4" t="s">
        <v>9066</v>
      </c>
      <c r="C4" t="s">
        <v>1</v>
      </c>
      <c r="D4" t="s">
        <v>9056</v>
      </c>
      <c r="E4" t="s">
        <v>9059</v>
      </c>
      <c r="F4" t="s">
        <v>9060</v>
      </c>
      <c r="G4">
        <v>141</v>
      </c>
      <c r="H4">
        <v>141</v>
      </c>
      <c r="I4">
        <v>141</v>
      </c>
      <c r="J4">
        <v>141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1450</v>
      </c>
      <c r="S4" s="2">
        <v>0</v>
      </c>
      <c r="T4" s="2">
        <v>0</v>
      </c>
      <c r="U4" s="2">
        <v>1450</v>
      </c>
      <c r="V4" t="s">
        <v>55</v>
      </c>
    </row>
    <row r="5" spans="1:22" x14ac:dyDescent="0.25">
      <c r="A5" t="s">
        <v>7944</v>
      </c>
      <c r="B5" t="s">
        <v>9066</v>
      </c>
      <c r="C5" t="s">
        <v>1</v>
      </c>
      <c r="D5" t="s">
        <v>9056</v>
      </c>
      <c r="E5" t="s">
        <v>9059</v>
      </c>
      <c r="F5" t="s">
        <v>9060</v>
      </c>
      <c r="G5">
        <v>143</v>
      </c>
      <c r="H5">
        <v>143</v>
      </c>
      <c r="I5">
        <v>143</v>
      </c>
      <c r="J5">
        <v>143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437.5</v>
      </c>
      <c r="S5" s="2">
        <v>0</v>
      </c>
      <c r="T5" s="2">
        <v>0</v>
      </c>
      <c r="U5" s="2">
        <v>437.5</v>
      </c>
      <c r="V5" t="s">
        <v>55</v>
      </c>
    </row>
    <row r="6" spans="1:22" x14ac:dyDescent="0.25">
      <c r="A6" t="s">
        <v>7944</v>
      </c>
      <c r="B6" t="s">
        <v>9066</v>
      </c>
      <c r="C6" t="s">
        <v>1</v>
      </c>
      <c r="D6" t="s">
        <v>9056</v>
      </c>
      <c r="E6" t="s">
        <v>9059</v>
      </c>
      <c r="F6" t="s">
        <v>9060</v>
      </c>
      <c r="G6">
        <v>142</v>
      </c>
      <c r="H6">
        <v>142</v>
      </c>
      <c r="I6">
        <v>142</v>
      </c>
      <c r="J6">
        <v>142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1450</v>
      </c>
      <c r="S6" s="2">
        <v>0</v>
      </c>
      <c r="T6" s="2">
        <v>0</v>
      </c>
      <c r="U6" s="2">
        <v>1450</v>
      </c>
      <c r="V6" t="s">
        <v>55</v>
      </c>
    </row>
    <row r="7" spans="1:22" x14ac:dyDescent="0.25">
      <c r="A7" t="s">
        <v>7944</v>
      </c>
      <c r="B7" t="s">
        <v>9065</v>
      </c>
      <c r="C7" t="s">
        <v>1</v>
      </c>
      <c r="D7" t="s">
        <v>9056</v>
      </c>
      <c r="E7" t="s">
        <v>9059</v>
      </c>
      <c r="F7" t="s">
        <v>9060</v>
      </c>
      <c r="G7">
        <v>141</v>
      </c>
      <c r="H7">
        <v>141</v>
      </c>
      <c r="I7">
        <v>141</v>
      </c>
      <c r="J7">
        <v>141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2625</v>
      </c>
      <c r="S7" s="2">
        <v>0</v>
      </c>
      <c r="T7" s="2">
        <v>0</v>
      </c>
      <c r="U7" s="2">
        <v>2625</v>
      </c>
      <c r="V7" t="s">
        <v>55</v>
      </c>
    </row>
    <row r="8" spans="1:22" x14ac:dyDescent="0.25">
      <c r="A8" t="s">
        <v>7944</v>
      </c>
      <c r="B8" t="s">
        <v>9065</v>
      </c>
      <c r="C8" t="s">
        <v>1</v>
      </c>
      <c r="D8" t="s">
        <v>9056</v>
      </c>
      <c r="E8" t="s">
        <v>9059</v>
      </c>
      <c r="F8" t="s">
        <v>9060</v>
      </c>
      <c r="G8">
        <v>140</v>
      </c>
      <c r="H8">
        <v>140</v>
      </c>
      <c r="I8">
        <v>140</v>
      </c>
      <c r="J8">
        <v>140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1450</v>
      </c>
      <c r="S8" s="2">
        <v>0</v>
      </c>
      <c r="T8" s="2">
        <v>0</v>
      </c>
      <c r="U8" s="2">
        <v>1450</v>
      </c>
      <c r="V8" t="s">
        <v>55</v>
      </c>
    </row>
    <row r="9" spans="1:22" x14ac:dyDescent="0.25">
      <c r="A9" t="s">
        <v>7944</v>
      </c>
      <c r="B9" t="s">
        <v>9064</v>
      </c>
      <c r="C9" t="s">
        <v>1</v>
      </c>
      <c r="D9" t="s">
        <v>9056</v>
      </c>
      <c r="E9" t="s">
        <v>9059</v>
      </c>
      <c r="F9" t="s">
        <v>9060</v>
      </c>
      <c r="G9">
        <v>139</v>
      </c>
      <c r="H9">
        <v>139</v>
      </c>
      <c r="I9">
        <v>139</v>
      </c>
      <c r="J9">
        <v>139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1450</v>
      </c>
      <c r="S9" s="2">
        <v>0</v>
      </c>
      <c r="T9" s="2">
        <v>0</v>
      </c>
      <c r="U9" s="2">
        <v>1450</v>
      </c>
      <c r="V9" t="s">
        <v>55</v>
      </c>
    </row>
    <row r="10" spans="1:22" x14ac:dyDescent="0.25">
      <c r="A10" t="s">
        <v>7944</v>
      </c>
      <c r="B10" t="s">
        <v>9063</v>
      </c>
      <c r="C10" t="s">
        <v>1</v>
      </c>
      <c r="D10" t="s">
        <v>9056</v>
      </c>
      <c r="E10" t="s">
        <v>9059</v>
      </c>
      <c r="F10" t="s">
        <v>9060</v>
      </c>
      <c r="G10">
        <v>138</v>
      </c>
      <c r="H10">
        <v>138</v>
      </c>
      <c r="I10">
        <v>138</v>
      </c>
      <c r="J10">
        <v>138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437.5</v>
      </c>
      <c r="U10" s="2">
        <v>437.5</v>
      </c>
      <c r="V10" t="s">
        <v>55</v>
      </c>
    </row>
    <row r="11" spans="1:22" x14ac:dyDescent="0.25">
      <c r="A11" t="s">
        <v>7944</v>
      </c>
      <c r="B11" t="s">
        <v>9063</v>
      </c>
      <c r="C11" t="s">
        <v>1</v>
      </c>
      <c r="D11" t="s">
        <v>9056</v>
      </c>
      <c r="E11" t="s">
        <v>9059</v>
      </c>
      <c r="F11" t="s">
        <v>9060</v>
      </c>
      <c r="G11">
        <v>137</v>
      </c>
      <c r="H11">
        <v>137</v>
      </c>
      <c r="I11">
        <v>137</v>
      </c>
      <c r="J11">
        <v>137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1450</v>
      </c>
      <c r="S11" s="2">
        <v>0</v>
      </c>
      <c r="T11" s="2">
        <v>0</v>
      </c>
      <c r="U11" s="2">
        <v>1450</v>
      </c>
      <c r="V11" t="s">
        <v>55</v>
      </c>
    </row>
    <row r="12" spans="1:22" x14ac:dyDescent="0.25">
      <c r="A12" t="s">
        <v>7944</v>
      </c>
      <c r="B12" t="s">
        <v>9063</v>
      </c>
      <c r="C12" t="s">
        <v>1</v>
      </c>
      <c r="D12" t="s">
        <v>9056</v>
      </c>
      <c r="E12" t="s">
        <v>9059</v>
      </c>
      <c r="F12" t="s">
        <v>9060</v>
      </c>
      <c r="G12">
        <v>136</v>
      </c>
      <c r="H12">
        <v>136</v>
      </c>
      <c r="I12">
        <v>136</v>
      </c>
      <c r="J12">
        <v>136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1450</v>
      </c>
      <c r="S12" s="2">
        <v>0</v>
      </c>
      <c r="T12" s="2">
        <v>0</v>
      </c>
      <c r="U12" s="2">
        <v>1450</v>
      </c>
      <c r="V12" t="s">
        <v>55</v>
      </c>
    </row>
    <row r="13" spans="1:22" x14ac:dyDescent="0.25">
      <c r="A13" t="s">
        <v>7944</v>
      </c>
      <c r="B13" t="s">
        <v>9062</v>
      </c>
      <c r="C13" t="s">
        <v>1</v>
      </c>
      <c r="D13" t="s">
        <v>9056</v>
      </c>
      <c r="E13" t="s">
        <v>9059</v>
      </c>
      <c r="F13" t="s">
        <v>9060</v>
      </c>
      <c r="G13">
        <v>135</v>
      </c>
      <c r="H13">
        <v>135</v>
      </c>
      <c r="I13">
        <v>135</v>
      </c>
      <c r="J13">
        <v>135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2625</v>
      </c>
      <c r="S13" s="2">
        <v>0</v>
      </c>
      <c r="T13" s="2">
        <v>0</v>
      </c>
      <c r="U13" s="2">
        <v>2625</v>
      </c>
      <c r="V13" t="s">
        <v>55</v>
      </c>
    </row>
    <row r="14" spans="1:22" x14ac:dyDescent="0.25">
      <c r="A14" t="s">
        <v>7944</v>
      </c>
      <c r="B14" t="s">
        <v>9062</v>
      </c>
      <c r="C14" t="s">
        <v>1</v>
      </c>
      <c r="D14" t="s">
        <v>9056</v>
      </c>
      <c r="E14" t="s">
        <v>9059</v>
      </c>
      <c r="F14" t="s">
        <v>9060</v>
      </c>
      <c r="G14">
        <v>134</v>
      </c>
      <c r="H14">
        <v>134</v>
      </c>
      <c r="I14">
        <v>134</v>
      </c>
      <c r="J14">
        <v>134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1450</v>
      </c>
      <c r="S14" s="2">
        <v>0</v>
      </c>
      <c r="T14" s="2">
        <v>0</v>
      </c>
      <c r="U14" s="2">
        <v>1450</v>
      </c>
      <c r="V14" t="s">
        <v>55</v>
      </c>
    </row>
    <row r="15" spans="1:22" x14ac:dyDescent="0.25">
      <c r="A15" t="s">
        <v>7944</v>
      </c>
      <c r="B15" t="s">
        <v>9061</v>
      </c>
      <c r="C15" t="s">
        <v>1</v>
      </c>
      <c r="D15" t="s">
        <v>9056</v>
      </c>
      <c r="E15" t="s">
        <v>9059</v>
      </c>
      <c r="F15" t="s">
        <v>9060</v>
      </c>
      <c r="G15">
        <v>133</v>
      </c>
      <c r="H15">
        <v>133</v>
      </c>
      <c r="I15">
        <v>133</v>
      </c>
      <c r="J15">
        <v>133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3062.5</v>
      </c>
      <c r="S15" s="2">
        <v>0</v>
      </c>
      <c r="T15" s="2">
        <v>0</v>
      </c>
      <c r="U15" s="2">
        <v>3062.5</v>
      </c>
      <c r="V15" t="s">
        <v>55</v>
      </c>
    </row>
    <row r="17" spans="1:21" ht="15.75" thickBot="1" x14ac:dyDescent="0.3"/>
    <row r="18" spans="1:21" ht="15.75" thickBot="1" x14ac:dyDescent="0.3">
      <c r="A18" s="128" t="s">
        <v>76</v>
      </c>
      <c r="B18" s="129"/>
      <c r="C18" s="129"/>
      <c r="D18" s="129"/>
      <c r="E18" s="129"/>
      <c r="F18" s="129"/>
      <c r="G18" s="129"/>
      <c r="H18" s="129"/>
      <c r="I18" s="129"/>
      <c r="J18" s="129"/>
      <c r="K18" s="130"/>
      <c r="L18" s="4">
        <f>+SUBTOTAL(9,Tabla3[V EXENTA])</f>
        <v>0</v>
      </c>
      <c r="M18" s="4">
        <f>+SUBTOTAL(9,Tabla3[VENTAS NO])</f>
        <v>0</v>
      </c>
      <c r="N18" s="4">
        <f>+SUBTOTAL(9,Tabla3[V NO SUJETAS])</f>
        <v>0</v>
      </c>
      <c r="O18" s="4">
        <f>+SUBTOTAL(9,Tabla3[V GRAVADAS])</f>
        <v>0</v>
      </c>
      <c r="P18" s="4">
        <f>+SUBTOTAL(9,Tabla3[EX IN CA])</f>
        <v>0</v>
      </c>
      <c r="Q18" s="4">
        <f>+SUBTOTAL(9,Tabla3[EX OUT CA])</f>
        <v>0</v>
      </c>
      <c r="R18" s="4">
        <f>+SUBTOTAL(9,Tabla3[EX SERVICE])</f>
        <v>20787.5</v>
      </c>
      <c r="S18" s="4">
        <f>+SUBTOTAL(9,Tabla3[V ZONA FRAN])</f>
        <v>0</v>
      </c>
      <c r="T18" s="4">
        <f>+SUBTOTAL(9,Tabla3[V CTA A 3ERO])</f>
        <v>0</v>
      </c>
      <c r="U18" s="4">
        <f>+SUBTOTAL(9,Tabla3[TOTAL VENTA])</f>
        <v>20787.5</v>
      </c>
    </row>
    <row r="19" spans="1:21" x14ac:dyDescent="0.25">
      <c r="O19" s="2">
        <f>O18/1.13</f>
        <v>0</v>
      </c>
    </row>
    <row r="20" spans="1:21" x14ac:dyDescent="0.25">
      <c r="O20" s="2">
        <f>O19*0.13</f>
        <v>0</v>
      </c>
    </row>
  </sheetData>
  <mergeCells count="1">
    <mergeCell ref="A18:K1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9015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topLeftCell="A22" workbookViewId="0">
      <selection activeCell="A23" sqref="A2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topLeftCell="A740" workbookViewId="0">
      <selection activeCell="A758" sqref="A75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8627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2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4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9029</v>
      </c>
      <c r="B4412" t="s">
        <v>9028</v>
      </c>
    </row>
    <row r="4413" spans="1:2" x14ac:dyDescent="0.25">
      <c r="A4413" s="1" t="s">
        <v>9031</v>
      </c>
      <c r="B4413" t="s">
        <v>9030</v>
      </c>
    </row>
    <row r="4414" spans="1:2" x14ac:dyDescent="0.25">
      <c r="A4414" s="1" t="s">
        <v>9032</v>
      </c>
      <c r="B4414" t="s">
        <v>9044</v>
      </c>
    </row>
    <row r="4415" spans="1:2" x14ac:dyDescent="0.25">
      <c r="A4415" s="1" t="s">
        <v>9033</v>
      </c>
      <c r="B4415" t="s">
        <v>9045</v>
      </c>
    </row>
    <row r="4416" spans="1:2" x14ac:dyDescent="0.25">
      <c r="A4416" s="1" t="s">
        <v>9034</v>
      </c>
      <c r="B4416" t="s">
        <v>9046</v>
      </c>
    </row>
    <row r="4417" spans="1:2" x14ac:dyDescent="0.25">
      <c r="A4417" s="1" t="s">
        <v>9035</v>
      </c>
      <c r="B4417" t="s">
        <v>9047</v>
      </c>
    </row>
    <row r="4418" spans="1:2" x14ac:dyDescent="0.25">
      <c r="A4418" s="1" t="s">
        <v>9036</v>
      </c>
      <c r="B4418" t="s">
        <v>9048</v>
      </c>
    </row>
    <row r="4419" spans="1:2" x14ac:dyDescent="0.25">
      <c r="A4419" s="1" t="s">
        <v>9037</v>
      </c>
      <c r="B4419" t="s">
        <v>9049</v>
      </c>
    </row>
    <row r="4420" spans="1:2" x14ac:dyDescent="0.25">
      <c r="A4420" s="1" t="s">
        <v>9038</v>
      </c>
      <c r="B4420" t="s">
        <v>9050</v>
      </c>
    </row>
    <row r="4421" spans="1:2" x14ac:dyDescent="0.25">
      <c r="A4421" s="1" t="s">
        <v>9039</v>
      </c>
      <c r="B4421" t="s">
        <v>9051</v>
      </c>
    </row>
    <row r="4422" spans="1:2" x14ac:dyDescent="0.25">
      <c r="A4422" s="1" t="s">
        <v>9040</v>
      </c>
      <c r="B4422" t="s">
        <v>9052</v>
      </c>
    </row>
    <row r="4423" spans="1:2" x14ac:dyDescent="0.25">
      <c r="A4423" s="1" t="s">
        <v>9041</v>
      </c>
      <c r="B4423" t="s">
        <v>9053</v>
      </c>
    </row>
    <row r="4424" spans="1:2" x14ac:dyDescent="0.25">
      <c r="A4424" s="1" t="s">
        <v>9042</v>
      </c>
      <c r="B4424" t="s">
        <v>9054</v>
      </c>
    </row>
    <row r="4425" spans="1:2" x14ac:dyDescent="0.25">
      <c r="A4425" s="1" t="s">
        <v>9043</v>
      </c>
      <c r="B4425" t="s">
        <v>9055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B1" sqref="B1:C1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3"/>
      <c r="C1" s="134"/>
      <c r="D1" s="131" t="s">
        <v>8954</v>
      </c>
      <c r="E1" s="132"/>
      <c r="F1" s="132"/>
      <c r="I1" s="89"/>
    </row>
    <row r="3" spans="1:10 16383:16383" ht="21.75" customHeight="1" x14ac:dyDescent="0.25">
      <c r="D3" s="85" t="s">
        <v>8574</v>
      </c>
      <c r="E3" s="86" t="s">
        <v>7944</v>
      </c>
      <c r="F3" s="87" t="s">
        <v>8775</v>
      </c>
      <c r="G3" s="77"/>
      <c r="H3" s="85" t="s">
        <v>8776</v>
      </c>
      <c r="I3" s="86" t="s">
        <v>8758</v>
      </c>
      <c r="XFC3" t="s">
        <v>7944</v>
      </c>
    </row>
    <row r="4" spans="1:10 16383:16383" ht="18" customHeight="1" x14ac:dyDescent="0.25">
      <c r="D4" s="92" t="s">
        <v>8759</v>
      </c>
      <c r="E4" s="93">
        <f>ROUND(SUMIFS(Tabla3[[#All],[V GRAVADAS]],Tabla3[[#All],[MES]],Tabla7[[#Headers],[ENERO]])/(1.13),2)</f>
        <v>0</v>
      </c>
      <c r="F4" s="94"/>
      <c r="G4" s="110"/>
      <c r="H4" s="92" t="s">
        <v>8760</v>
      </c>
      <c r="I4" s="115">
        <f>ROUND(F8*0.13-F12*0.13-E14-E15,2)</f>
        <v>-315.72000000000003</v>
      </c>
      <c r="XFC4" t="s">
        <v>7981</v>
      </c>
    </row>
    <row r="5" spans="1:10 16383:16383" ht="18" customHeight="1" x14ac:dyDescent="0.25">
      <c r="D5" s="92" t="s">
        <v>9057</v>
      </c>
      <c r="E5" s="93">
        <f>ROUND(SUMIFS(Tabla3[[#All],[EX SERVICE]],Tabla3[[#All],[MES]],Tabla7[[#Headers],[ENERO]]),2)</f>
        <v>20787.5</v>
      </c>
      <c r="F5" s="94" t="str">
        <f>IFERROR(+E2+E3-E4,"")</f>
        <v/>
      </c>
      <c r="G5" s="77"/>
      <c r="H5" s="92" t="s">
        <v>8762</v>
      </c>
      <c r="I5" s="101">
        <f>ROUND(F7*0.0175,2)+E16</f>
        <v>363.78</v>
      </c>
      <c r="XFC5" t="s">
        <v>8153</v>
      </c>
    </row>
    <row r="6" spans="1:10 16383:16383" ht="18" customHeight="1" x14ac:dyDescent="0.25">
      <c r="D6" s="92" t="s">
        <v>8761</v>
      </c>
      <c r="E6" s="93">
        <f>ROUND(SUMIFS(Tabla2[[#All],[V. GRAVADA]],Tabla2[[#All],[MES]],Tabla7[[#Headers],[ENERO]],Tabla2[[#All],[TIPO DE DOC]],3),2)</f>
        <v>0</v>
      </c>
      <c r="F6" s="94"/>
      <c r="G6" s="110"/>
      <c r="H6" s="108" t="s">
        <v>8764</v>
      </c>
      <c r="I6" s="102">
        <f>SUM(I4:I5)</f>
        <v>48.059999999999945</v>
      </c>
      <c r="XFC6" t="s">
        <v>8265</v>
      </c>
    </row>
    <row r="7" spans="1:10 16383:16383" ht="18" customHeight="1" x14ac:dyDescent="0.25">
      <c r="D7" s="92" t="s">
        <v>8763</v>
      </c>
      <c r="E7" s="93">
        <f>ROUND(SUMIFS(Tabla2[[#All],[V. GRAVADA]],Tabla2[[#All],[MES]],Tabla7[[#Headers],[ENERO]],Tabla2[[#All],[TIPO DE DOC]],5),2)</f>
        <v>0</v>
      </c>
      <c r="F7" s="94">
        <f>SUM(E4:E6)</f>
        <v>20787.5</v>
      </c>
      <c r="G7" s="77"/>
      <c r="H7" s="83"/>
      <c r="I7" s="84"/>
      <c r="XFC7" t="s">
        <v>8322</v>
      </c>
    </row>
    <row r="8" spans="1:10 16383:16383" ht="18" customHeight="1" x14ac:dyDescent="0.25">
      <c r="D8" s="119" t="s">
        <v>8773</v>
      </c>
      <c r="E8" s="120"/>
      <c r="F8" s="121">
        <f>+E4+E6-E7</f>
        <v>0</v>
      </c>
      <c r="G8" s="110"/>
      <c r="H8" s="77"/>
      <c r="I8" s="78"/>
      <c r="J8" s="15"/>
      <c r="XFC8" t="s">
        <v>8323</v>
      </c>
    </row>
    <row r="9" spans="1:10 16383:16383" ht="18" customHeight="1" x14ac:dyDescent="0.25">
      <c r="D9" s="92" t="s">
        <v>8765</v>
      </c>
      <c r="E9" s="93">
        <f>SUMIFS(Tabla1[[#All],[C. GRAVADA]],Tabla1[[#All],[MES]],Tabla7[[#Headers],[ENERO]],Tabla1[[#All],[TIPO DE DOC]],"03")</f>
        <v>2428.58</v>
      </c>
      <c r="F9" s="95"/>
      <c r="G9" s="110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8766</v>
      </c>
      <c r="E10" s="93">
        <f>SUMIFS(Tabla1[[#All],[IMPOR BIENES]],Tabla1[[#All],[MES]],Tabla7[[#Headers],[ENERO]],Tabla1[[#All],[TIPO DE DOC]],12)</f>
        <v>0</v>
      </c>
      <c r="F10" s="95"/>
      <c r="XFC10" t="s">
        <v>8325</v>
      </c>
    </row>
    <row r="11" spans="1:10 16383:16383" ht="18" customHeight="1" x14ac:dyDescent="0.25">
      <c r="D11" s="92" t="s">
        <v>8767</v>
      </c>
      <c r="E11" s="93">
        <f>SUMIFS(Tabla1[[#All],[C. GRAVADA]],Tabla1[[#All],[MES]],Tabla7[[#Headers],[ENERO]],Tabla1[[#All],[TIPO DE DOC]],"05")</f>
        <v>0</v>
      </c>
      <c r="F11" s="96"/>
      <c r="G11" s="15"/>
      <c r="XFC11" t="s">
        <v>8326</v>
      </c>
    </row>
    <row r="12" spans="1:10 16383:16383" ht="18" customHeight="1" x14ac:dyDescent="0.25">
      <c r="D12" s="119" t="s">
        <v>8774</v>
      </c>
      <c r="E12" s="120"/>
      <c r="F12" s="121">
        <f>IFERROR(+E9+E10-E11,"")</f>
        <v>2428.58</v>
      </c>
      <c r="G12" s="15"/>
      <c r="XFC12" t="s">
        <v>8327</v>
      </c>
    </row>
    <row r="13" spans="1:10 16383:16383" ht="18" customHeight="1" x14ac:dyDescent="0.25">
      <c r="D13" s="92" t="s">
        <v>8768</v>
      </c>
      <c r="E13" s="93">
        <f>SUMIFS(Tabla1[[#All],[C. EXENTAS]],Tabla1[[#All],[MES]],Tabla7[[#Headers],[ENERO]],Tabla1[[#All],[TIPO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2" t="s">
        <v>8769</v>
      </c>
      <c r="E14" s="93">
        <f>SUMIFS(Tabla1[[#All],[PERCEPCIONES]],Tabla1[[#All],[MES]],Tabla7[[#Headers],[ENERO]],Tabla1[[#All],[TIPO DE DOC]],"03")</f>
        <v>0</v>
      </c>
      <c r="F14" s="98"/>
      <c r="XFC14" t="s">
        <v>8329</v>
      </c>
    </row>
    <row r="15" spans="1:10 16383:16383" ht="18" customHeight="1" x14ac:dyDescent="0.25">
      <c r="D15" s="92" t="s">
        <v>8770</v>
      </c>
      <c r="E15" s="93">
        <f>SUMIFS(Tabla6[[#Headers],[#Data],[Monto Retención 1%]],Tabla6[[#Headers],[#Data],[Mes]],Tabla7[[#Headers],[ENERO]])</f>
        <v>0</v>
      </c>
      <c r="F15" s="99"/>
    </row>
    <row r="16" spans="1:10 16383:16383" ht="18" customHeight="1" x14ac:dyDescent="0.25">
      <c r="D16" s="100" t="s">
        <v>9058</v>
      </c>
      <c r="E16" s="126"/>
      <c r="F16" s="9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2024-02-19T22:41:02Z</dcterms:modified>
</cp:coreProperties>
</file>