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TECHNI-POWER\2024\"/>
    </mc:Choice>
  </mc:AlternateContent>
  <xr:revisionPtr revIDLastSave="0" documentId="13_ncr:1_{8F78039E-2BC0-425E-B357-A38D34BFF7BF}" xr6:coauthVersionLast="47" xr6:coauthVersionMax="47" xr10:uidLastSave="{00000000-0000-0000-0000-000000000000}"/>
  <bookViews>
    <workbookView xWindow="-120" yWindow="-120" windowWidth="29040" windowHeight="15990" activeTab="4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9" l="1"/>
  <c r="G4" i="31"/>
  <c r="L8" i="6"/>
  <c r="H8" i="6"/>
  <c r="L7" i="6"/>
  <c r="L6" i="6"/>
  <c r="L5" i="6"/>
  <c r="H4" i="6"/>
  <c r="L4" i="6" s="1"/>
  <c r="L3" i="6"/>
  <c r="D9" i="6"/>
  <c r="E5" i="29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6" i="31" l="1"/>
  <c r="J6" i="31"/>
  <c r="K6" i="31"/>
  <c r="L6" i="31"/>
  <c r="M6" i="31"/>
  <c r="N6" i="31"/>
  <c r="O6" i="31"/>
  <c r="P6" i="31"/>
  <c r="H6" i="31"/>
  <c r="S6" i="31"/>
  <c r="I4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8" i="29"/>
  <c r="F7" i="29"/>
  <c r="I5" i="29" s="1"/>
  <c r="F12" i="29"/>
  <c r="I4" i="29" l="1"/>
  <c r="E4" i="13"/>
  <c r="I6" i="29" l="1"/>
  <c r="F4" i="13" l="1"/>
  <c r="T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9" i="7" l="1"/>
  <c r="J4" i="13" l="1"/>
  <c r="H4" i="13"/>
  <c r="M5" i="10" l="1"/>
  <c r="N5" i="10"/>
  <c r="O5" i="10"/>
  <c r="O6" i="10" s="1"/>
  <c r="O7" i="10" s="1"/>
  <c r="P5" i="10"/>
  <c r="Q5" i="10"/>
  <c r="R5" i="10"/>
  <c r="S5" i="10"/>
  <c r="T5" i="10"/>
  <c r="U5" i="10"/>
  <c r="L5" i="10"/>
  <c r="D9" i="9"/>
  <c r="D10" i="9" s="1"/>
  <c r="D11" i="9" s="1"/>
  <c r="D22" i="9" l="1"/>
  <c r="D18" i="5" l="1"/>
  <c r="L7" i="8"/>
  <c r="M7" i="8"/>
  <c r="N7" i="8"/>
  <c r="O7" i="8"/>
  <c r="P7" i="8"/>
  <c r="Q7" i="8"/>
  <c r="K7" i="8"/>
  <c r="J9" i="7" l="1"/>
  <c r="K9" i="7"/>
  <c r="L9" i="7"/>
  <c r="M9" i="7"/>
  <c r="N9" i="7"/>
  <c r="O9" i="7"/>
  <c r="P9" i="7"/>
  <c r="I9" i="7"/>
  <c r="H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<sst xmlns="http://schemas.openxmlformats.org/spreadsheetml/2006/main" count="26081" uniqueCount="9253">
  <si>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</si>
  <si>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</si>
  <si>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</si>
  <si>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</si>
  <si>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</si>
  <si>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</si>
  <si>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</si>
  <si>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</si>
  <si>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</si>
  <si>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</si>
  <si>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</si>
  <si>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</si>
  <si>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</si>
  <si>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</si>
  <si>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</si>
  <si>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</si>
  <si>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</si>
  <si>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</si>
  <si>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</si>
  <si>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</si>
  <si>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</si>
  <si>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</si>
  <si>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</si>
  <si>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</si>
  <si>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</si>
  <si>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</si>
  <si>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</si>
  <si>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</si>
  <si>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</si>
  <si>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</si>
  <si>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</si>
  <si>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</si>
  <si>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</si>
  <si>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</si>
  <si>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</si>
  <si>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</si>
  <si>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</si>
  <si>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</si>
  <si>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</si>
  <si>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</si>
  <si>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</si>
  <si>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</si>
  <si>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</si>
  <si>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</si>
  <si>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</si>
  <si>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</si>
  <si>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</si>
  <si>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</si>
  <si>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</si>
  <si>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</si>
  <si>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</si>
  <si>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</si>
  <si>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</si>
  <si>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</si>
  <si>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</si>
  <si>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</si>
  <si>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</si>
  <si>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</si>
  <si>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</si>
  <si>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</si>
  <si>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</si>
  <si>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</si>
  <si>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</si>
  <si>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</si>
  <si>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</si>
  <si>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</si>
  <si>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</si>
  <si>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</si>
  <si>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</si>
  <si>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</si>
  <si>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</si>
  <si>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</si>
  <si>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</si>
  <si>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</si>
  <si>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</si>
  <si>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</si>
  <si>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</si>
  <si>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</si>
  <si>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</si>
  <si>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</si>
  <si>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</si>
  <si>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</si>
  <si>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</si>
  <si>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</si>
  <si>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</si>
  <si>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</si>
  <si>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</si>
  <si>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</si>
  <si>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</si>
  <si>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</si>
  <si>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</si>
  <si>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</si>
  <si>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</si>
  <si>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</si>
  <si>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</si>
  <si>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</si>
  <si>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</si>
  <si>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</si>
  <si>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</si>
  <si>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</si>
  <si>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</si>
  <si>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</si>
  <si>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</si>
  <si>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</si>
  <si>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</si>
  <si>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</si>
  <si>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</si>
  <si>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</si>
  <si>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</si>
  <si>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</si>
  <si>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</si>
  <si>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</si>
  <si>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</si>
  <si>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</si>
  <si>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</si>
  <si>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</si>
  <si>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</si>
  <si>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</si>
  <si>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</si>
  <si>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</si>
  <si>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</si>
  <si>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</si>
  <si>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</si>
  <si>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</si>
  <si>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</si>
  <si>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</si>
  <si>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</si>
  <si>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</si>
  <si>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</si>
  <si>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</si>
  <si>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</si>
  <si>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</si>
  <si>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</si>
  <si>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</si>
  <si>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</si>
  <si>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</si>
  <si>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</si>
  <si>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</si>
  <si>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</si>
  <si>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</si>
  <si>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</si>
  <si>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</si>
  <si>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</si>
  <si>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</si>
  <si>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</si>
  <si>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</si>
  <si>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</si>
  <si>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</si>
  <si>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</si>
  <si>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</si>
  <si>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</si>
  <si>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</si>
  <si>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</si>
  <si>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</si>
  <si>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</si>
  <si>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</si>
  <si>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</si>
  <si>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</si>
  <si>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</si>
  <si>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</si>
  <si>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</si>
  <si>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</si>
  <si>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</si>
  <si>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</si>
  <si>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</si>
  <si>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</si>
  <si>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</si>
  <si>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</si>
  <si>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</si>
  <si>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</si>
  <si>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</si>
  <si>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</si>
  <si>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</si>
  <si>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</si>
  <si>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</si>
  <si>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</si>
  <si>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</si>
  <si>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</si>
  <si>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</si>
  <si>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</si>
  <si>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</si>
  <si>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</si>
  <si>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</si>
  <si>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</si>
  <si>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</si>
  <si>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</si>
  <si>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</si>
  <si>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</si>
  <si>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</si>
  <si>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</si>
  <si>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</si>
  <si>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</si>
  <si>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</si>
  <si>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</si>
  <si>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</si>
  <si>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</si>
  <si>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</si>
  <si>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</si>
  <si>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</si>
  <si>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</si>
  <si>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</si>
  <si>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</si>
  <si>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</si>
  <si>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</si>
  <si>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</si>
  <si>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</si>
  <si>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</si>
  <si>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</si>
  <si>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</si>
  <si>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</si>
  <si>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</si>
  <si>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</si>
  <si>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</si>
  <si>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</si>
  <si>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</si>
  <si>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</si>
  <si>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</si>
  <si>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</si>
  <si>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</si>
  <si>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</si>
  <si>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</si>
  <si>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</si>
  <si>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</si>
  <si>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</si>
  <si>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</si>
  <si>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</si>
  <si>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</si>
  <si>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</si>
  <si>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</si>
  <si>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</si>
  <si>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</si>
  <si>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</si>
  <si>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</si>
  <si>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</si>
  <si>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</si>
  <si>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</si>
  <si>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</si>
  <si>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</si>
  <si>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</si>
  <si>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</si>
  <si>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</si>
  <si>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</si>
  <si>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</si>
  <si>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</si>
  <si>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</si>
  <si>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</si>
  <si>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</si>
  <si>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</si>
  <si>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</si>
  <si>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</si>
  <si>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</si>
  <si>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</si>
  <si>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</si>
  <si>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</si>
  <si>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</si>
  <si>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</si>
  <si>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</si>
  <si>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</si>
  <si>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</si>
  <si>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</si>
  <si>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</si>
  <si>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</si>
  <si>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</si>
  <si>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</si>
  <si>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</si>
  <si>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</si>
  <si>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</si>
  <si>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</si>
  <si>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</si>
  <si>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</si>
  <si>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</si>
  <si>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</si>
  <si>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</si>
  <si>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</si>
  <si>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</si>
  <si>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</si>
  <si>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</si>
  <si>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</si>
  <si>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</si>
  <si>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</si>
  <si>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</si>
  <si>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</si>
  <si>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</si>
  <si>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</si>
  <si>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</si>
  <si>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</si>
  <si>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</si>
  <si>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</si>
  <si>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</si>
  <si>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</si>
  <si>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</si>
  <si>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</si>
  <si>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</si>
  <si>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</si>
  <si>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</si>
  <si>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</si>
  <si>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</si>
  <si>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</si>
  <si>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</si>
  <si>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</si>
  <si>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</si>
  <si>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</si>
  <si>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</si>
  <si>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</si>
  <si>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</si>
  <si>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</si>
  <si>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</si>
  <si>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</si>
  <si>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</si>
  <si>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</si>
  <si>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</si>
  <si>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</si>
  <si>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</si>
  <si>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</si>
  <si>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</si>
  <si>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</si>
  <si>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</si>
  <si>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</si>
  <si>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</si>
  <si>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</si>
  <si>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</si>
  <si>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</si>
  <si>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</si>
  <si>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</si>
  <si>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</si>
  <si>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</si>
  <si>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</si>
  <si>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</si>
  <si>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</si>
  <si>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</si>
  <si>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</si>
  <si>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</si>
  <si>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</si>
  <si>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</si>
  <si>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</si>
  <si>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</si>
  <si>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</si>
  <si>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</si>
  <si>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</si>
  <si>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</si>
  <si>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</si>
  <si>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</si>
  <si>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</si>
  <si>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</si>
  <si>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</si>
  <si>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</si>
  <si>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</si>
  <si>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</si>
  <si>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</si>
  <si>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</si>
  <si>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</si>
  <si>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</si>
  <si>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</si>
  <si>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</si>
  <si>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</si>
  <si>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</si>
  <si>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</si>
  <si>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</si>
  <si>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</si>
  <si>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</si>
  <si>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</si>
  <si>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</si>
  <si>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</si>
  <si>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</si>
  <si>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</si>
  <si>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</si>
  <si>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</si>
  <si>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</si>
  <si>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</si>
  <si>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</si>
  <si>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</si>
  <si>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</si>
  <si>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</si>
  <si>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</si>
  <si>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</si>
  <si>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</si>
  <si>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</si>
  <si>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</si>
  <si>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</si>
  <si>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</si>
  <si>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</si>
  <si>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</si>
  <si>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</si>
  <si>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</si>
  <si>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</si>
  <si>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</si>
  <si>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</si>
  <si>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</si>
  <si>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</si>
  <si>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</si>
  <si>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</si>
  <si>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</si>
  <si>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</si>
  <si>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</si>
  <si>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</si>
  <si>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</si>
  <si>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</si>
  <si>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</si>
  <si>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</si>
  <si>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</si>
  <si>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</si>
  <si>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</si>
  <si>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</si>
  <si>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</si>
  <si>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</si>
  <si>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</si>
  <si>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</si>
  <si>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</si>
  <si>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</si>
  <si>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</si>
  <si>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</si>
  <si>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</si>
  <si>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</si>
  <si>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</si>
  <si>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</si>
  <si>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</si>
  <si>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</si>
  <si>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</si>
  <si>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</si>
  <si>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</si>
  <si>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</si>
  <si>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</si>
  <si>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</si>
  <si>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</si>
  <si>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</si>
  <si>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</si>
  <si>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</si>
  <si>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</si>
  <si>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</si>
  <si>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</si>
  <si>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</si>
  <si>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</si>
  <si>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</si>
  <si>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</si>
  <si>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</si>
  <si>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</si>
  <si>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</si>
  <si>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</si>
  <si>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</si>
  <si>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</si>
  <si>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</si>
  <si>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</si>
  <si>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</si>
  <si>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</si>
  <si>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</si>
  <si>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</si>
  <si>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</si>
  <si>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</si>
  <si>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</si>
  <si>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</si>
  <si>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</si>
  <si>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</si>
  <si>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</si>
  <si>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</si>
  <si>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</si>
  <si>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</si>
  <si>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</si>
  <si>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</si>
  <si>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</si>
  <si>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</si>
  <si>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</si>
  <si>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</si>
  <si>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</si>
  <si>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</si>
  <si>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</si>
  <si>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</si>
  <si>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</si>
  <si>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</si>
  <si>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</si>
  <si>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</si>
  <si>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</si>
  <si>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</si>
  <si>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</si>
  <si>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</si>
  <si>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</si>
  <si>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</si>
  <si>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</si>
  <si>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</si>
  <si>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</si>
  <si>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</si>
  <si>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</si>
  <si>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</si>
  <si>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</si>
  <si>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</si>
  <si>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</si>
  <si>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</si>
  <si>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</si>
  <si>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</si>
  <si>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</si>
  <si>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</si>
  <si>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</si>
  <si>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</si>
  <si>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</si>
  <si>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</si>
  <si>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</si>
  <si>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</si>
  <si>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</si>
  <si>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</si>
  <si>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</si>
  <si>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</si>
  <si>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</si>
  <si>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</si>
  <si>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</si>
  <si>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</si>
  <si>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</si>
  <si>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</si>
  <si>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</si>
  <si>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</si>
  <si>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</si>
  <si>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</si>
  <si>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</si>
  <si>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</si>
  <si>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</si>
  <si>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</si>
  <si>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</si>
  <si>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</si>
  <si>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</si>
  <si>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</si>
  <si>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</si>
  <si>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</si>
  <si>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</si>
  <si>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</si>
  <si>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</si>
  <si>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</si>
  <si>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</si>
  <si>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</si>
  <si>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</si>
  <si>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</si>
  <si>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</si>
  <si>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</si>
  <si>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</si>
  <si>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</si>
  <si>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</si>
  <si>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</si>
  <si>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</si>
  <si>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</si>
  <si>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</si>
  <si>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</si>
  <si>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</si>
  <si>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</si>
  <si>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</si>
  <si>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</si>
  <si>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</si>
  <si>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</si>
  <si>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</si>
  <si>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</si>
  <si>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</si>
  <si>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</si>
  <si>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</si>
  <si>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</si>
  <si>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</si>
  <si>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</si>
  <si>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</si>
  <si>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</si>
  <si>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</si>
  <si>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</si>
  <si>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</si>
  <si>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</si>
  <si>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</si>
  <si>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</si>
  <si>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</si>
  <si>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</si>
  <si>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</si>
  <si>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</si>
  <si>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</si>
  <si>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</si>
  <si>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</si>
  <si>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</si>
  <si>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</si>
  <si>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</si>
  <si>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</si>
  <si>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</si>
  <si>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</si>
  <si>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</si>
  <si>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</si>
  <si>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</si>
  <si>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</si>
  <si>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</si>
  <si>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</si>
  <si>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</si>
  <si>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</si>
  <si>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</si>
  <si>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</si>
  <si>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</si>
  <si>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</si>
  <si>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</si>
  <si>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</si>
  <si>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</si>
  <si>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</si>
  <si>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</si>
  <si>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</si>
  <si>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</si>
  <si>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</si>
  <si>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</si>
  <si>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</si>
  <si>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</si>
  <si>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</si>
  <si>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</si>
  <si>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</si>
  <si>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</si>
  <si>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</si>
  <si>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</si>
  <si>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</si>
  <si>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</si>
  <si>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</si>
  <si>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</si>
  <si>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</si>
  <si>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</si>
  <si>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</si>
  <si>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</si>
  <si>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</si>
  <si>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</si>
  <si>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</si>
  <si>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</si>
  <si>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</si>
  <si>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</si>
  <si>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</si>
  <si>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</si>
  <si>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</si>
  <si>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</si>
  <si>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</si>
  <si>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</si>
  <si>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</si>
  <si>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</si>
  <si>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</si>
  <si>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</si>
  <si>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</si>
  <si>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</si>
  <si>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</si>
  <si>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</si>
  <si>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</si>
  <si>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</si>
  <si>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</si>
  <si>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</si>
  <si>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</si>
  <si>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</si>
  <si>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</si>
  <si>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</si>
  <si>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</si>
  <si>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</si>
  <si>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</si>
  <si>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</si>
  <si>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</si>
  <si>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</si>
  <si>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</si>
  <si>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</si>
  <si>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</si>
  <si>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</si>
  <si>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</si>
  <si>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</si>
  <si>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</si>
  <si>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</si>
  <si>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</si>
  <si>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</si>
  <si>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</si>
  <si>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</si>
  <si>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</si>
  <si>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</si>
  <si>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</si>
  <si>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</si>
  <si>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</si>
  <si>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</si>
  <si>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</si>
  <si>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</si>
  <si>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</si>
  <si>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</si>
  <si>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</si>
  <si>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</si>
  <si>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</si>
  <si>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</si>
  <si>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</si>
  <si>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</si>
  <si>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</si>
  <si>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</si>
  <si>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</si>
  <si>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</si>
  <si>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</si>
  <si>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</si>
  <si>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</si>
  <si>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</si>
  <si>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</si>
  <si>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</si>
  <si>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</si>
  <si>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</si>
  <si>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</si>
  <si>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</si>
  <si>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</si>
  <si>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</si>
  <si>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</si>
  <si>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</si>
  <si>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</si>
  <si>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</si>
  <si>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</si>
  <si>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</si>
  <si>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</si>
  <si>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</si>
  <si>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</si>
  <si>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</si>
  <si>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</si>
  <si>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</si>
  <si>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</si>
  <si>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</si>
  <si>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</si>
  <si>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</si>
  <si>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</si>
  <si>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</si>
  <si>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</si>
  <si>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</si>
  <si>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</si>
  <si>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</si>
  <si>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</si>
  <si>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</si>
  <si>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</si>
  <si>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</si>
  <si>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</si>
  <si>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</si>
  <si>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</si>
  <si>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</si>
  <si>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</si>
  <si>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</si>
  <si>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</si>
  <si>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</si>
  <si>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</si>
  <si>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</si>
  <si>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</si>
  <si>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</si>
  <si>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</si>
  <si>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</si>
  <si>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</si>
  <si>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</si>
  <si>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</si>
  <si>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</si>
  <si>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</si>
  <si>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</si>
  <si>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</si>
  <si>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</si>
  <si>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</si>
  <si>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</si>
  <si>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</si>
  <si>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</si>
  <si>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</si>
  <si>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</si>
  <si>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</si>
  <si>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</si>
  <si>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</si>
  <si>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</si>
  <si>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</si>
  <si>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</si>
  <si>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</si>
  <si>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</si>
  <si>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</si>
  <si>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</si>
  <si>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</si>
  <si>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</si>
  <si>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</si>
  <si>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</si>
  <si>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</si>
  <si>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</si>
  <si>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</si>
  <si>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</si>
  <si>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</si>
  <si>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</si>
  <si>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</si>
  <si>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</si>
  <si>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</si>
  <si>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</si>
  <si>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</si>
  <si>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</si>
  <si>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</si>
  <si>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</si>
  <si>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</si>
  <si>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</si>
  <si>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</si>
  <si>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</si>
  <si>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</si>
  <si>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</si>
  <si>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</si>
  <si>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</si>
  <si>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</si>
  <si>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</si>
  <si>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</si>
  <si>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</si>
  <si>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</si>
  <si>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</si>
  <si>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</si>
  <si>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</si>
  <si>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</si>
  <si>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</si>
  <si>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</si>
  <si>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</si>
  <si>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</si>
  <si>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</si>
  <si>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</si>
  <si>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</si>
  <si>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</si>
  <si>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</si>
  <si>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</si>
  <si>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</si>
  <si>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</si>
  <si>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</si>
  <si>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</si>
  <si>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</si>
  <si>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</si>
  <si>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</si>
  <si>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</si>
  <si>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</si>
  <si>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</si>
  <si>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</si>
  <si>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</si>
  <si>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</si>
  <si>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</si>
  <si>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</si>
  <si>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</si>
  <si>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</si>
  <si>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</si>
  <si>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</si>
  <si>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</si>
  <si>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</si>
  <si>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</si>
  <si>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</si>
  <si>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</si>
  <si>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</si>
  <si>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</si>
  <si>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</si>
  <si>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</si>
  <si>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</si>
  <si>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</si>
  <si>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</si>
  <si>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</si>
  <si>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</si>
  <si>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</si>
  <si>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</si>
  <si>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</si>
  <si>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</si>
  <si>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</si>
  <si>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</si>
  <si>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</si>
  <si>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</si>
  <si>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</si>
  <si>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</si>
  <si>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</si>
  <si>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</si>
  <si>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</si>
  <si>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</si>
  <si>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</si>
  <si>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</si>
  <si>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</si>
  <si>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</si>
  <si>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</si>
  <si>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</si>
  <si>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</si>
  <si>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</si>
  <si>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</si>
  <si>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</si>
  <si>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</si>
  <si>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</si>
  <si>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</si>
  <si>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</si>
  <si>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</si>
  <si>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</si>
  <si>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</si>
  <si>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</si>
  <si>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</si>
  <si>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</si>
  <si>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</si>
  <si>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</si>
  <si>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</si>
  <si>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</si>
  <si>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</si>
  <si>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</si>
  <si>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</si>
  <si>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</si>
  <si>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</si>
  <si>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</si>
  <si>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</si>
  <si>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</si>
  <si>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</si>
  <si>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</si>
  <si>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</si>
  <si>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</si>
  <si>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</si>
  <si>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</si>
  <si>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</si>
  <si>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</si>
  <si>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</si>
  <si>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</si>
  <si>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</si>
  <si>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</si>
  <si>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</si>
  <si>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</si>
  <si>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</si>
  <si>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</si>
  <si>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</si>
  <si>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</si>
  <si>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</si>
  <si>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</si>
  <si>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</si>
  <si>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</si>
  <si>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</si>
  <si>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</si>
  <si>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</si>
  <si>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</si>
  <si>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</si>
  <si>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</si>
  <si>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</si>
  <si>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</si>
  <si>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</si>
  <si>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</si>
  <si>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</si>
  <si>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</si>
  <si>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</si>
  <si>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</si>
  <si>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</si>
  <si>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</si>
  <si>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</si>
  <si>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</si>
  <si>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</si>
  <si>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</si>
  <si>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</si>
  <si>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</si>
  <si>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</si>
  <si>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</si>
  <si>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</si>
  <si>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</si>
  <si>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</si>
  <si>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</si>
  <si>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</si>
  <si>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</si>
  <si>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</si>
  <si>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</si>
  <si>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</si>
  <si>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</si>
  <si>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</si>
  <si>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</si>
  <si>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</si>
  <si>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</si>
  <si>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</si>
  <si>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</si>
  <si>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</si>
  <si>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</si>
  <si>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</si>
  <si>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</si>
  <si>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</si>
  <si>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</si>
  <si>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</si>
  <si>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</si>
  <si>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</si>
  <si>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</si>
  <si>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</si>
  <si>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</si>
  <si>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</si>
  <si>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</si>
  <si>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</si>
  <si>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</si>
  <si>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</si>
  <si>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</si>
  <si>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</si>
  <si>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</si>
  <si>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</si>
  <si>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</si>
  <si>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</si>
  <si>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</si>
  <si>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</si>
  <si>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</si>
  <si>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</si>
  <si>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</si>
  <si>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</si>
  <si>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</si>
  <si>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</si>
  <si>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</si>
  <si>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</si>
  <si>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</si>
  <si>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</si>
  <si>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</si>
  <si>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</si>
  <si>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</si>
  <si>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</si>
  <si>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</si>
  <si>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</si>
  <si>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</si>
  <si>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</si>
  <si>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</si>
  <si>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</si>
  <si>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</si>
  <si>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</si>
  <si>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</si>
  <si>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</si>
  <si>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</si>
  <si>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</si>
  <si>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</si>
  <si>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</si>
  <si>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</si>
  <si>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</si>
  <si>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</si>
  <si>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</si>
  <si>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</si>
  <si>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</si>
  <si>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</si>
  <si>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</si>
  <si>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</si>
  <si>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</si>
  <si>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</si>
  <si>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</si>
  <si>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</si>
  <si>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</si>
  <si>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</si>
  <si>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</si>
  <si>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</si>
  <si>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</si>
  <si>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</si>
  <si>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</si>
  <si>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</si>
  <si>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</si>
  <si>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</si>
  <si>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</si>
  <si>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</si>
  <si>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</si>
  <si>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</si>
  <si>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</si>
  <si>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</si>
  <si>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</si>
  <si>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</si>
  <si>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</si>
  <si>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</si>
  <si>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</si>
  <si>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</si>
  <si>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</si>
  <si>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</si>
  <si>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</si>
  <si>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</si>
  <si>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</si>
  <si>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</si>
  <si>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</si>
  <si>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</si>
  <si>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</si>
  <si>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</si>
  <si>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</si>
  <si>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</si>
  <si>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</si>
  <si>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</si>
  <si>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</si>
  <si>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</si>
  <si>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</si>
  <si>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</si>
  <si>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</si>
  <si>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</si>
  <si>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</si>
  <si>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</si>
  <si>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</si>
  <si>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</si>
  <si>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</si>
  <si>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</si>
  <si>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</si>
  <si>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</si>
  <si>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</si>
  <si>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</si>
  <si>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</si>
  <si>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</si>
  <si>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</si>
  <si>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</si>
  <si>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</si>
  <si>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</si>
  <si>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</si>
  <si>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</si>
  <si>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</si>
  <si>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</si>
  <si>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</si>
  <si>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</si>
  <si>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</si>
  <si>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</si>
  <si>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</si>
  <si>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</si>
  <si>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</si>
  <si>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</si>
  <si>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</si>
  <si>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</si>
  <si>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</si>
  <si>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</si>
  <si>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</si>
  <si>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</si>
  <si>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</si>
  <si>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</si>
  <si>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</si>
  <si>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</si>
  <si>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</si>
  <si>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</si>
  <si>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</si>
  <si>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</si>
  <si>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</si>
  <si>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</si>
  <si>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</si>
  <si>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</si>
  <si>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</si>
  <si>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</si>
  <si>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</si>
  <si>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</si>
  <si>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</si>
  <si>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</si>
  <si>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</si>
  <si>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</si>
  <si>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</si>
  <si>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</si>
  <si>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</si>
  <si>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</si>
  <si>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</si>
  <si>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</si>
  <si>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</si>
  <si>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</si>
  <si>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</si>
  <si>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</si>
  <si>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</si>
  <si>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</si>
  <si>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</si>
  <si>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</si>
  <si>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</si>
  <si>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</si>
  <si>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</si>
  <si>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</si>
  <si>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</si>
  <si>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</si>
  <si>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</si>
  <si>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</si>
  <si>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</si>
  <si>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</si>
  <si>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</si>
  <si>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</si>
  <si>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</si>
  <si>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</si>
  <si>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</si>
  <si>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</si>
  <si>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</si>
  <si>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</si>
  <si>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</si>
  <si>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</si>
  <si>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</si>
  <si>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</si>
  <si>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</si>
  <si>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</si>
  <si>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</si>
  <si>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</si>
  <si>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</si>
  <si>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</si>
  <si>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</si>
  <si>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</si>
  <si>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</si>
  <si>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</si>
  <si>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</si>
  <si>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</si>
  <si>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</si>
  <si>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</si>
  <si>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</si>
  <si>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</si>
  <si>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</si>
  <si>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</si>
  <si>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</si>
  <si>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</si>
  <si>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</si>
  <si>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</si>
  <si>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</si>
  <si>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</si>
  <si>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</si>
  <si>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</si>
  <si>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</si>
  <si>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</si>
  <si>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</si>
  <si>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</si>
  <si>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</si>
  <si>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</si>
  <si>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</si>
  <si>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</si>
  <si>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</si>
  <si>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</si>
  <si>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</si>
  <si>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</si>
  <si>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</si>
  <si>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</si>
  <si>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</si>
  <si>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</si>
  <si>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</si>
  <si>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</si>
  <si>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</si>
  <si>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</si>
  <si>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</si>
  <si>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</si>
  <si>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</si>
  <si>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</si>
  <si>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</si>
  <si>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</si>
  <si>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</si>
  <si>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</si>
  <si>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</si>
  <si>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</si>
  <si>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</si>
  <si>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</si>
  <si>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</si>
  <si>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</si>
  <si>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</si>
  <si>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</si>
  <si>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</si>
  <si>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</si>
  <si>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</si>
  <si>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</si>
  <si>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</si>
  <si>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</si>
  <si>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</si>
  <si>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</si>
  <si>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</si>
  <si>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</si>
  <si>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</si>
  <si>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</si>
  <si>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</si>
  <si>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</si>
  <si>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</si>
  <si>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</si>
  <si>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</si>
  <si>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</si>
  <si>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</si>
  <si>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</si>
  <si>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</si>
  <si>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</si>
  <si>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</si>
  <si>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</si>
  <si>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</si>
  <si>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</si>
  <si>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</si>
  <si>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</si>
  <si>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</si>
  <si>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</si>
  <si>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</si>
  <si>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</si>
  <si>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</si>
  <si>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</si>
  <si>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</si>
  <si>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</si>
  <si>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</si>
  <si>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</si>
  <si>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</si>
  <si>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</si>
  <si>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</si>
  <si>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</si>
  <si>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</si>
  <si>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</si>
  <si>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</si>
  <si>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</si>
  <si>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</si>
  <si>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</si>
  <si>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</si>
  <si>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</si>
  <si>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</si>
  <si>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</si>
  <si>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</si>
  <si>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</si>
  <si>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</si>
  <si>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</si>
  <si>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</si>
  <si>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</si>
  <si>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</si>
  <si>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</si>
  <si>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</si>
  <si>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</si>
  <si>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</si>
  <si>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</si>
  <si>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</si>
  <si>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</si>
  <si>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</si>
  <si>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</si>
  <si>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</si>
  <si>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</si>
  <si>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</si>
  <si>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</si>
  <si>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</si>
  <si>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</si>
  <si>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</si>
  <si>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</si>
  <si>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</si>
  <si>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</si>
  <si>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</si>
  <si>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</si>
  <si>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</si>
  <si>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</si>
  <si>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</si>
  <si>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</si>
  <si>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</si>
  <si>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</si>
  <si>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</si>
  <si>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</si>
  <si>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</si>
  <si>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</si>
  <si>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</si>
  <si>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</si>
  <si>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</si>
  <si>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</si>
  <si>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</si>
  <si>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</si>
  <si>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</si>
  <si>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</si>
  <si>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</si>
  <si>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</si>
  <si>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</si>
  <si>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</si>
  <si>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</si>
  <si>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</si>
  <si>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</si>
  <si>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</si>
  <si>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</si>
  <si>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</si>
  <si>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</si>
  <si>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</si>
  <si>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</si>
  <si>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</si>
  <si>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</si>
  <si>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</si>
  <si>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</si>
  <si>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</si>
  <si>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</si>
  <si>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</si>
  <si>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</si>
  <si>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</si>
  <si>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</si>
  <si>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</si>
  <si>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</si>
  <si>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</si>
  <si>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</si>
  <si>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</si>
  <si>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</si>
  <si>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</si>
  <si>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</si>
  <si>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</si>
  <si>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</si>
  <si>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</si>
  <si>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</si>
  <si>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</si>
  <si>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</si>
  <si>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</si>
  <si>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</si>
  <si>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</si>
  <si>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</si>
  <si>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</si>
  <si>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</si>
  <si>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</si>
  <si>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</si>
  <si>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</si>
  <si>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</si>
  <si>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</si>
  <si>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</si>
  <si>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</si>
  <si>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</si>
  <si>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</si>
  <si>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</si>
  <si>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</si>
  <si>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</si>
  <si>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</si>
  <si>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</si>
  <si>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</si>
  <si>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</si>
  <si>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</si>
  <si>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</si>
  <si>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</si>
  <si>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</si>
  <si>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</si>
  <si>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</si>
  <si>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</si>
  <si>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</si>
  <si>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</si>
  <si>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</si>
  <si>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</si>
  <si>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</si>
  <si>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</si>
  <si>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</si>
  <si>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</si>
  <si>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</si>
  <si>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</si>
  <si>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</si>
  <si>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</si>
  <si>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</si>
  <si>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</si>
  <si>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</si>
  <si>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</si>
  <si>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</si>
  <si>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</si>
  <si>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</si>
  <si>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</si>
  <si>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</si>
  <si>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</si>
  <si>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</si>
  <si>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</si>
  <si>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</si>
  <si>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</si>
  <si>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</si>
  <si>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</si>
  <si>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</si>
  <si>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</si>
  <si>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</si>
  <si>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</si>
  <si>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</si>
  <si>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</si>
  <si>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</si>
  <si>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</si>
  <si>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</si>
  <si>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</si>
  <si>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</si>
  <si>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</si>
  <si>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</si>
  <si>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</si>
  <si>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</si>
  <si>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</si>
  <si>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</si>
  <si>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</si>
  <si>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</si>
  <si>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</si>
  <si>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</si>
  <si>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</si>
  <si>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</si>
  <si>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</si>
  <si>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</si>
  <si>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</si>
  <si>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</si>
  <si>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</si>
  <si>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</si>
  <si>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</si>
  <si>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</si>
  <si>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</si>
  <si>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</si>
  <si>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</si>
  <si>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</si>
  <si>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</si>
  <si>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</si>
  <si>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</si>
  <si>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</si>
  <si>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</si>
  <si>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</si>
  <si>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</si>
  <si>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</si>
  <si>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</si>
  <si>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</si>
  <si>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</si>
  <si>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</si>
  <si>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</si>
  <si>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</si>
  <si>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</si>
  <si>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</si>
  <si>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</si>
  <si>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</si>
  <si>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</si>
  <si>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</si>
  <si>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</si>
  <si>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</si>
  <si>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</si>
  <si>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</si>
  <si>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</si>
  <si>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</si>
  <si>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</si>
  <si>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</si>
  <si>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</si>
  <si>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</si>
  <si>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</si>
  <si>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</si>
  <si>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</si>
  <si>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</si>
  <si>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</si>
  <si>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</si>
  <si>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</si>
  <si>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</si>
  <si>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</si>
  <si>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</si>
  <si>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</si>
  <si>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</si>
  <si>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</si>
  <si>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</si>
  <si>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</si>
  <si>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</si>
  <si>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</si>
  <si>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</si>
  <si>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</si>
  <si>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</si>
  <si>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</si>
  <si>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</si>
  <si>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</si>
  <si>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</si>
  <si>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</si>
  <si>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</si>
  <si>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</si>
  <si>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</si>
  <si>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</si>
  <si>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</si>
  <si>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</si>
  <si>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</si>
  <si>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</si>
  <si>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</si>
  <si>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</si>
  <si>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</si>
  <si>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</si>
  <si>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</si>
  <si>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</si>
  <si>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</si>
  <si>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</si>
  <si>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</si>
  <si>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</si>
  <si>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</si>
  <si>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</si>
  <si>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</si>
  <si>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</si>
  <si>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</si>
  <si>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</si>
  <si>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</si>
  <si>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</si>
  <si>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</si>
  <si>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</si>
  <si>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</si>
  <si>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</si>
  <si>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</si>
  <si>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</si>
  <si>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</si>
  <si>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</si>
  <si>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</si>
  <si>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</si>
  <si>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</si>
  <si>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</si>
  <si>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</si>
  <si>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</si>
  <si>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</si>
  <si>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</si>
  <si>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</si>
  <si>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</si>
  <si>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</si>
  <si>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</si>
  <si>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</si>
  <si>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</si>
  <si>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</si>
  <si>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</si>
  <si>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</si>
  <si>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</si>
  <si>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</si>
  <si>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</si>
  <si>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</si>
  <si>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</si>
  <si>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</si>
  <si>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</si>
  <si>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</si>
  <si>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</si>
  <si>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</si>
  <si>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</si>
  <si>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</si>
  <si>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</si>
  <si>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</si>
  <si>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</si>
  <si>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</si>
  <si>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</si>
  <si>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</si>
  <si>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</si>
  <si>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</si>
  <si>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</si>
  <si>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</si>
  <si>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</si>
  <si>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</si>
  <si>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</si>
  <si>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</si>
  <si>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</si>
  <si>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</si>
  <si>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</si>
  <si>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</si>
  <si>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</si>
  <si>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</si>
  <si>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</si>
  <si>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</si>
  <si>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</si>
  <si>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</si>
  <si>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</si>
  <si>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</si>
  <si>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</si>
  <si>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</si>
  <si>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</si>
  <si>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</si>
  <si>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</si>
  <si>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</si>
  <si>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</si>
  <si>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</si>
  <si>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</si>
  <si>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</si>
  <si>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</si>
  <si>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</si>
  <si>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</si>
  <si>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</si>
  <si>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</si>
  <si>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</si>
  <si>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</si>
  <si>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</si>
  <si>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</si>
  <si>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</si>
  <si>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</si>
  <si>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</si>
  <si>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</si>
  <si>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</si>
  <si>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</si>
  <si>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</si>
  <si>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</si>
  <si>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</si>
  <si>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</si>
  <si>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</si>
  <si>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</si>
  <si>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</si>
  <si>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</si>
  <si>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</si>
  <si>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</si>
  <si>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</si>
  <si>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</si>
  <si>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</si>
  <si>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</si>
  <si>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</si>
  <si>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</si>
  <si>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</si>
  <si>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</si>
  <si>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</si>
  <si>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</si>
  <si>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</si>
  <si>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</si>
  <si>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</si>
  <si>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</si>
  <si>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</si>
  <si>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</si>
  <si>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</si>
  <si>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</si>
  <si>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</si>
  <si>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</si>
  <si>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</si>
  <si>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</si>
  <si>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</si>
  <si>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</si>
  <si>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</si>
  <si>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</si>
  <si>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</si>
  <si>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</si>
  <si>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</si>
  <si>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</si>
  <si>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</si>
  <si>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</si>
  <si>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</si>
  <si>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</si>
  <si>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</si>
  <si>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</si>
  <si>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</si>
  <si>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</si>
  <si>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</si>
  <si>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</si>
  <si>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</si>
  <si>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</si>
  <si>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</si>
  <si>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</si>
  <si>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</si>
  <si>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</si>
  <si>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</si>
  <si>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</si>
  <si>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</si>
  <si>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</si>
  <si>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</si>
  <si>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</si>
  <si>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</si>
  <si>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</si>
  <si>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</si>
  <si>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</si>
  <si>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</si>
  <si>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</si>
  <si>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</si>
  <si>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</si>
  <si>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</si>
  <si>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</si>
  <si>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</si>
  <si>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</si>
  <si>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</si>
  <si>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</si>
  <si>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</si>
  <si>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</si>
  <si>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</si>
  <si>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</si>
  <si>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</si>
  <si>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</si>
  <si>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</si>
  <si>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</si>
  <si>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</si>
  <si>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</si>
  <si>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</si>
  <si>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</si>
  <si>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</si>
  <si>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</si>
  <si>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</si>
  <si>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</si>
  <si>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</si>
  <si>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</si>
  <si>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</si>
  <si>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</si>
  <si>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</si>
  <si>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</si>
  <si>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</si>
  <si>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</si>
  <si>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</si>
  <si>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</si>
  <si>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</si>
  <si>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</si>
  <si>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</si>
  <si>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</si>
  <si>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</si>
  <si>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</si>
  <si>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</si>
  <si>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</si>
  <si>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</si>
  <si>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</si>
  <si>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</si>
  <si>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</si>
  <si>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</si>
  <si>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</si>
  <si>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</si>
  <si>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</si>
  <si>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</si>
  <si>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</si>
  <si>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</si>
  <si>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</si>
  <si>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</si>
  <si>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</si>
  <si>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</si>
  <si>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</si>
  <si>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</si>
  <si>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</si>
  <si>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</si>
  <si>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</si>
  <si>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</si>
  <si>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</si>
  <si>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</si>
  <si>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</si>
  <si>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</si>
  <si>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</si>
  <si>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</si>
  <si>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</si>
  <si>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</si>
  <si>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</si>
  <si>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</si>
  <si>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</si>
  <si>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</si>
  <si>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</si>
  <si>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</si>
  <si>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</si>
  <si>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</si>
  <si>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</si>
  <si>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</si>
  <si>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</si>
  <si>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</si>
  <si>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</si>
  <si>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</si>
  <si>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</si>
  <si>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</si>
  <si>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</si>
  <si>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</si>
  <si>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</si>
  <si>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</si>
  <si>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</si>
  <si>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</si>
  <si>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</si>
  <si>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</si>
  <si>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</si>
  <si>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</si>
  <si>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</si>
  <si>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</si>
  <si>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</si>
  <si>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</si>
  <si>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</si>
  <si>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</si>
  <si>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</si>
  <si>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</si>
  <si>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</si>
  <si>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</si>
  <si>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</si>
  <si>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</si>
  <si>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</si>
  <si>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</si>
  <si>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</si>
  <si>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</si>
  <si>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</si>
  <si>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</si>
  <si>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</si>
  <si>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</si>
  <si>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</si>
  <si>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</si>
  <si>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</si>
  <si>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</si>
  <si>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</si>
  <si>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</si>
  <si>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</si>
  <si>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</si>
  <si>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</si>
  <si>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</si>
  <si>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</si>
  <si>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</si>
  <si>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</si>
  <si>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</si>
  <si>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</si>
  <si>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</si>
  <si>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</si>
  <si>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</si>
  <si>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</si>
  <si>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</si>
  <si>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</si>
  <si>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</si>
  <si>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</si>
  <si>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</si>
  <si>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</si>
  <si>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</si>
  <si>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</si>
  <si>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</si>
  <si>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</si>
  <si>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</si>
  <si>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</si>
  <si>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</si>
  <si>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</si>
  <si>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</si>
  <si>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</si>
  <si>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</si>
  <si>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</si>
  <si>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</si>
  <si>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</si>
  <si>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</si>
  <si>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</si>
  <si>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</si>
  <si>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</si>
  <si>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</si>
  <si>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</si>
  <si>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</si>
  <si>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</si>
  <si>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</si>
  <si>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</si>
  <si>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</si>
  <si>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</si>
  <si>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</si>
  <si>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</si>
  <si>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</si>
  <si>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</si>
  <si>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</si>
  <si>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</si>
  <si>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</si>
  <si>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</si>
  <si>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</si>
  <si>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</si>
  <si>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</si>
  <si>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</si>
  <si>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</si>
  <si>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</si>
  <si>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</si>
  <si>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</si>
  <si>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</si>
  <si>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</si>
  <si>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</si>
  <si>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</si>
  <si>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</si>
  <si>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</si>
  <si>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</si>
  <si>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</si>
  <si>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</si>
  <si>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</si>
  <si>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</si>
  <si>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</si>
  <si>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</si>
  <si>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</si>
  <si>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</si>
  <si>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</si>
  <si>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</si>
  <si>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</si>
  <si>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</si>
  <si>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</si>
  <si>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</si>
  <si>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</si>
  <si>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</si>
  <si>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</si>
  <si>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</si>
  <si>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</si>
  <si>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</si>
  <si>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</si>
  <si>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</si>
  <si>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</si>
  <si>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</si>
  <si>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</si>
  <si>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</si>
  <si>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</si>
  <si>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</si>
  <si>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</si>
  <si>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</si>
  <si>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</si>
  <si>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</si>
  <si>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</si>
  <si>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</si>
  <si>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</si>
  <si>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</si>
  <si>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</si>
  <si>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</si>
  <si>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</si>
  <si>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</si>
  <si>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</si>
  <si>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</si>
  <si>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</si>
  <si>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</si>
  <si>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</si>
  <si>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</si>
  <si>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</si>
  <si>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</si>
  <si>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</si>
  <si>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</si>
  <si>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</si>
  <si>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</si>
  <si>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</si>
  <si>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</si>
  <si>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</si>
  <si>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</si>
  <si>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</si>
  <si>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</si>
  <si>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</si>
  <si>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</si>
  <si>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</si>
  <si>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</si>
  <si>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</si>
  <si>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</si>
  <si>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</si>
  <si>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</si>
  <si>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</si>
  <si>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</si>
  <si>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</si>
  <si>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</si>
  <si>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</si>
  <si>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</si>
  <si>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</si>
  <si>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</si>
  <si>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</si>
  <si>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</si>
  <si>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</si>
  <si>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</si>
  <si>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</si>
  <si>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</si>
  <si>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</si>
  <si>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</si>
  <si>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</si>
  <si>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</si>
  <si>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</si>
  <si>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</si>
  <si>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</si>
  <si>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</si>
  <si>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</si>
  <si>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</si>
  <si>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</si>
  <si>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</si>
  <si>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</si>
  <si>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</si>
  <si>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</si>
  <si>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</si>
  <si>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</si>
  <si>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</si>
  <si>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</si>
  <si>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</si>
  <si>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</si>
  <si>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</si>
  <si>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</si>
  <si>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</si>
  <si>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</si>
  <si>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</si>
  <si>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</si>
  <si>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</si>
  <si>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</si>
  <si>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</si>
  <si>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</si>
  <si>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</si>
  <si>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</si>
  <si>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</si>
  <si>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</si>
  <si>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</si>
  <si>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</si>
  <si>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</si>
  <si>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</si>
  <si>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</si>
  <si>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</si>
  <si>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</si>
  <si>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</si>
  <si>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</si>
  <si>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</si>
  <si>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</si>
  <si>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</si>
  <si>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</si>
  <si>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</si>
  <si>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</si>
  <si>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</si>
  <si>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</si>
  <si>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</si>
  <si>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</si>
  <si>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</si>
  <si>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</si>
  <si>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</si>
  <si>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</si>
  <si>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</si>
  <si>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</si>
  <si>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</si>
  <si>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</si>
  <si>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</si>
  <si>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</si>
  <si>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</si>
  <si>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</si>
  <si>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</si>
  <si>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</si>
  <si>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</si>
  <si>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</si>
  <si>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</si>
  <si>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</si>
  <si>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</si>
  <si>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</si>
  <si>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</si>
  <si>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</si>
  <si>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</si>
  <si>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</si>
  <si>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</si>
  <si>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</si>
  <si>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</si>
  <si>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</si>
  <si>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</si>
  <si>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</si>
  <si>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</si>
  <si>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</si>
  <si>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</si>
  <si>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</si>
  <si>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</si>
  <si>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</si>
  <si>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</si>
  <si>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</si>
  <si>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</si>
  <si>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</si>
  <si>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</si>
  <si>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</si>
  <si>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</si>
  <si>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</si>
  <si>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</si>
  <si>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</si>
  <si>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</si>
  <si>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</si>
  <si>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</si>
  <si>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</si>
  <si>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</si>
  <si>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</si>
  <si>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</si>
  <si>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</si>
  <si>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</si>
  <si>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</si>
  <si>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</si>
  <si>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</si>
  <si>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</si>
  <si>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</si>
  <si>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</si>
  <si>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</si>
  <si>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</si>
  <si>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</si>
  <si>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</si>
  <si>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</si>
  <si>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</si>
  <si>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</si>
  <si>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</si>
  <si>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</si>
  <si>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</si>
  <si>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</si>
  <si>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</si>
  <si>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</si>
  <si>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</si>
  <si>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</si>
  <si>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</si>
  <si>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</si>
  <si>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</si>
  <si>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</si>
  <si>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</si>
  <si>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</si>
  <si>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</si>
  <si>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</si>
  <si>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</si>
  <si>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</si>
  <si>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</si>
  <si>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</si>
  <si>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</si>
  <si>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</si>
  <si>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</si>
  <si>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</si>
  <si>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</si>
  <si>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</si>
  <si>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</si>
  <si>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</si>
  <si>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</si>
  <si>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</si>
  <si>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</si>
  <si>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</si>
  <si>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</si>
  <si>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</si>
  <si>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</si>
  <si>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</si>
  <si>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</si>
  <si>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</si>
  <si>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</si>
  <si>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</si>
  <si>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</si>
  <si>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</si>
  <si>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</si>
  <si>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</si>
  <si>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</si>
  <si>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</si>
  <si>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</si>
  <si>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</si>
  <si>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</si>
  <si>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</si>
  <si>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</si>
  <si>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</si>
  <si>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</si>
  <si>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</si>
  <si>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</si>
  <si>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</si>
  <si>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</si>
  <si>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</si>
  <si>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</si>
  <si>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</si>
  <si>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</si>
  <si>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</si>
  <si>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</si>
  <si>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</si>
  <si>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</si>
  <si>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</si>
  <si>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</si>
  <si>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</si>
  <si>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</si>
  <si>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</si>
  <si>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</si>
  <si>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</si>
  <si>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</si>
  <si>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</si>
  <si>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</si>
  <si>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</si>
  <si>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</si>
  <si>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</si>
  <si>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</si>
  <si>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</si>
  <si>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</si>
  <si>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</si>
  <si>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</si>
  <si>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</si>
  <si>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</si>
  <si>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</si>
  <si>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</si>
  <si>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</si>
  <si>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</si>
  <si>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</si>
  <si>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</si>
  <si>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</si>
  <si>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</si>
  <si>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</si>
  <si>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</si>
  <si>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</si>
  <si>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</si>
  <si>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</si>
  <si>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</si>
  <si>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</si>
  <si>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</si>
  <si>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</si>
  <si>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</si>
  <si>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</si>
  <si>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</si>
  <si>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</si>
  <si>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</si>
  <si>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</si>
  <si>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</si>
  <si>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</si>
  <si>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</si>
  <si>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</si>
  <si>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</si>
  <si>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</si>
  <si>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</si>
  <si>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</si>
  <si>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</si>
  <si>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</si>
  <si>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</si>
  <si>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</si>
  <si>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</si>
  <si>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</si>
  <si>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</si>
  <si>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</si>
  <si>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</si>
  <si>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</si>
  <si>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</si>
  <si>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</si>
  <si>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</si>
  <si>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</si>
  <si>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</si>
  <si>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</si>
  <si>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</si>
  <si>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</si>
  <si>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</si>
  <si>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</si>
  <si>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</si>
  <si>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</si>
  <si>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</si>
  <si>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</si>
  <si>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</si>
  <si>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</si>
  <si>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</si>
  <si>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</si>
  <si>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</si>
  <si>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</si>
  <si>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</si>
  <si>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</si>
  <si>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</si>
  <si>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</si>
  <si>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</si>
  <si>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</si>
  <si>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</si>
  <si>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</si>
  <si>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</si>
  <si>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</si>
  <si>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</si>
  <si>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</si>
  <si>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</si>
  <si>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</si>
  <si>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</si>
  <si>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</si>
  <si>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</si>
  <si>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</si>
  <si>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</si>
  <si>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</si>
  <si>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</si>
  <si>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</si>
  <si>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</si>
  <si>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</si>
  <si>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</si>
  <si>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</si>
  <si>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</si>
  <si>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</si>
  <si>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</si>
  <si>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</si>
  <si>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</si>
  <si>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</si>
  <si>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</si>
  <si>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</si>
  <si>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</si>
  <si>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</si>
  <si>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</si>
  <si>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</si>
  <si>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</si>
  <si>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</si>
  <si>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</si>
  <si>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</si>
  <si>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</si>
  <si>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</si>
  <si>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</si>
  <si>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</si>
  <si>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</si>
  <si>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</si>
  <si>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</si>
  <si>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</si>
  <si>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</si>
  <si>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</si>
  <si>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</si>
  <si>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</si>
  <si>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</si>
  <si>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</si>
  <si>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</si>
  <si>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</si>
  <si>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</si>
  <si>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</si>
  <si>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</si>
  <si>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</si>
  <si>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</si>
  <si>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</si>
  <si>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</si>
  <si>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</si>
  <si>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</si>
  <si>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</si>
  <si>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</si>
  <si>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</si>
  <si>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</si>
  <si>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</si>
  <si>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</si>
  <si>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</si>
  <si>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</si>
  <si>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</si>
  <si>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</si>
  <si>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</si>
  <si>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</si>
  <si>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</si>
  <si>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</si>
  <si>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</si>
  <si>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</si>
  <si>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</si>
  <si>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</si>
  <si>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</si>
  <si>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</si>
  <si>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</si>
  <si>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</si>
  <si>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</si>
  <si>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</si>
  <si>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</si>
  <si>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</si>
  <si>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</si>
  <si>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</si>
  <si>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</si>
  <si>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</si>
  <si>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</si>
  <si>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</si>
  <si>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</si>
  <si>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</si>
  <si>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</si>
  <si>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</si>
  <si>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</si>
  <si>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</si>
  <si>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</si>
  <si>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</si>
  <si>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</si>
  <si>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</si>
  <si>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</si>
  <si>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</si>
  <si>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</si>
  <si>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</si>
  <si>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</si>
  <si>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</si>
  <si>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</si>
  <si>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</si>
  <si>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</si>
  <si>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</si>
  <si>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</si>
  <si>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</si>
  <si>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</si>
  <si>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</si>
  <si>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</si>
  <si>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</si>
  <si>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</si>
  <si>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</si>
  <si>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</si>
  <si>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</si>
  <si>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</si>
  <si>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</si>
  <si>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</si>
  <si>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</si>
  <si>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</si>
  <si>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</si>
  <si>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</si>
  <si>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</si>
  <si>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</si>
  <si>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</si>
  <si>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</si>
  <si>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</si>
  <si>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</si>
  <si>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</si>
  <si>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</si>
  <si>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</si>
  <si>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</si>
  <si>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</si>
  <si>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</si>
  <si>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</si>
  <si>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</si>
  <si>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</si>
  <si>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</si>
  <si>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</si>
  <si>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</si>
  <si>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</si>
  <si>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</si>
  <si>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</si>
  <si>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</si>
  <si>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</si>
  <si>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</si>
  <si>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</si>
  <si>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</si>
  <si>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</si>
  <si>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</si>
  <si>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</si>
  <si>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</si>
  <si>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</si>
  <si>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</si>
  <si>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</si>
  <si>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</si>
  <si>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</si>
  <si>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</si>
  <si>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</si>
  <si>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</si>
  <si>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</si>
  <si>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</si>
  <si>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</si>
  <si>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</si>
  <si>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</si>
  <si>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</si>
  <si>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</si>
  <si>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</si>
  <si>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</si>
  <si>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</si>
  <si>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</si>
  <si>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</si>
  <si>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</si>
  <si>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</si>
  <si>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</si>
  <si>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</si>
  <si>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</si>
  <si>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</si>
  <si>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</si>
  <si>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</si>
  <si>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</si>
  <si>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</si>
  <si>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</si>
  <si>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</si>
  <si>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</si>
  <si>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</si>
  <si>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</si>
  <si>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</si>
  <si>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</si>
  <si>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</si>
  <si>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</si>
  <si>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</si>
  <si>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</si>
  <si>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</si>
  <si>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</si>
  <si>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</si>
  <si>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</si>
  <si>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</si>
  <si>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</si>
  <si>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</si>
  <si>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</si>
  <si>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</si>
  <si>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</si>
  <si>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</si>
  <si>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</si>
  <si>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</si>
  <si>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</si>
  <si>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</si>
  <si>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</si>
  <si>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</si>
  <si>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</si>
  <si>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</si>
  <si>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</si>
  <si>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</si>
  <si>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</si>
  <si>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</si>
  <si>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</si>
  <si>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</si>
  <si>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</si>
  <si>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</si>
  <si>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</si>
  <si>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</si>
  <si>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</si>
  <si>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</si>
  <si>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</si>
  <si>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</si>
  <si>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</si>
  <si>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</si>
  <si>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</si>
  <si>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</si>
  <si>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</si>
  <si>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</si>
  <si>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</si>
  <si>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</si>
  <si>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</si>
  <si>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</si>
  <si>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</si>
  <si>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</si>
  <si>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</si>
  <si>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</si>
  <si>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</si>
  <si>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</si>
  <si>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</si>
  <si>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</si>
  <si>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</si>
  <si>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</si>
  <si>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</si>
  <si>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</si>
  <si>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</si>
  <si>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</si>
  <si>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</si>
  <si>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</si>
  <si>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</si>
  <si>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</si>
  <si>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</si>
  <si>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</si>
  <si>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</si>
  <si>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</si>
  <si>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</si>
  <si>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</si>
  <si>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</si>
  <si>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</si>
  <si>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</si>
  <si>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</si>
  <si>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</si>
  <si>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</si>
  <si>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</si>
  <si>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</si>
  <si>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</si>
  <si>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</si>
  <si>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</si>
  <si>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</si>
  <si>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</si>
  <si>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</si>
  <si>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</si>
  <si>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</si>
  <si>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</si>
  <si>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</si>
  <si>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</si>
  <si>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</si>
  <si>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</si>
  <si>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</si>
  <si>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</si>
  <si>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</si>
  <si>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</si>
  <si>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</si>
  <si>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</si>
  <si>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</si>
  <si>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</si>
  <si>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</si>
  <si>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</si>
  <si>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</si>
  <si>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</si>
  <si>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</si>
  <si>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</si>
  <si>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</si>
  <si>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</si>
  <si>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</si>
  <si>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</si>
  <si>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</si>
  <si>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</si>
  <si>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</si>
  <si>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</si>
  <si>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</si>
  <si>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</si>
  <si>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</si>
  <si>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</si>
  <si>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</si>
  <si>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</si>
  <si>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</si>
  <si>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</si>
  <si>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</si>
  <si>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</si>
  <si>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</si>
  <si>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</si>
  <si>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</si>
  <si>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</si>
  <si>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</si>
  <si>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</si>
  <si>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</si>
  <si>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</si>
  <si>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</si>
  <si>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</si>
  <si>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</si>
  <si>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</si>
  <si>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</si>
  <si>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</si>
  <si>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</si>
  <si>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</si>
  <si>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</si>
  <si>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</si>
  <si>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</si>
  <si>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</si>
  <si>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</si>
  <si>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</si>
  <si>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</si>
  <si>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</si>
  <si>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</si>
  <si>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</si>
  <si>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</si>
  <si>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</si>
  <si>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</si>
  <si>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</si>
  <si>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</si>
  <si>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</si>
  <si>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</si>
  <si>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</si>
  <si>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</si>
  <si>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</si>
  <si>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</si>
  <si>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</si>
  <si>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</si>
  <si>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</si>
  <si>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</si>
  <si>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</si>
  <si>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</si>
  <si>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</si>
  <si>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</si>
  <si>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</si>
  <si>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</si>
  <si>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</si>
  <si>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</si>
  <si>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</si>
  <si>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</si>
  <si>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</si>
  <si>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</si>
  <si>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</si>
  <si>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</si>
  <si>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</si>
  <si>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</si>
  <si>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</si>
  <si>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</si>
  <si>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</si>
  <si>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</si>
  <si>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</si>
  <si>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</si>
  <si>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</si>
  <si>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</si>
  <si>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</si>
  <si>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</si>
  <si>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</si>
  <si>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</si>
  <si>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</si>
  <si>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</si>
  <si>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</si>
  <si>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</si>
  <si>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</si>
  <si>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</si>
  <si>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</si>
  <si>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</si>
  <si>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</si>
  <si>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</si>
  <si>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</si>
  <si>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</si>
  <si>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</si>
  <si>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</si>
  <si>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</si>
  <si>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</si>
  <si>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</si>
  <si>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</si>
  <si>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</si>
  <si>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</si>
  <si>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</si>
  <si>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</si>
  <si>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</si>
  <si>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</si>
  <si>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</si>
  <si>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</si>
  <si>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</si>
  <si>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</si>
  <si>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</si>
  <si>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</si>
  <si>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</si>
  <si>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</si>
  <si>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</si>
  <si>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</si>
  <si>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</si>
  <si>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</si>
  <si>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</si>
  <si>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</si>
  <si>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</si>
  <si>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</si>
  <si>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</si>
  <si>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</si>
  <si>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</si>
  <si>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</si>
  <si>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</si>
  <si>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</si>
  <si>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</si>
  <si>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</si>
  <si>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</si>
  <si>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</si>
  <si>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</si>
  <si>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</si>
  <si>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</si>
  <si>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</si>
  <si>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</si>
  <si>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</si>
  <si>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</si>
  <si>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</si>
  <si>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</si>
  <si>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</si>
  <si>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</si>
  <si>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</si>
  <si>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</si>
  <si>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</si>
  <si>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</si>
  <si>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</si>
  <si>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</si>
  <si>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</si>
  <si>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</si>
  <si>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</si>
  <si>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</si>
  <si>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</si>
  <si>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</si>
  <si>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</si>
  <si>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</si>
  <si>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</si>
  <si>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</si>
  <si>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</si>
  <si>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</si>
  <si>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</si>
  <si>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</si>
  <si>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</si>
  <si>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</si>
  <si>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</si>
  <si>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</si>
  <si>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</si>
  <si>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</si>
  <si>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</si>
  <si>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</si>
  <si>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</si>
  <si>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</si>
  <si>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</si>
  <si>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</si>
  <si>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</si>
  <si>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</si>
  <si>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</si>
  <si>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</si>
  <si>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</si>
  <si>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</si>
  <si>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</si>
  <si>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</si>
  <si>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</si>
  <si>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</si>
  <si>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</si>
  <si>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</si>
  <si>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</si>
  <si>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</si>
  <si>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</si>
  <si>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</si>
  <si>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</si>
  <si>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</si>
  <si>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</si>
  <si>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</si>
  <si>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</si>
  <si>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</si>
  <si>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</si>
  <si>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</si>
  <si>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</si>
  <si>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</si>
  <si>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</si>
  <si>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</si>
  <si>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</si>
  <si>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</si>
  <si>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</si>
  <si>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</si>
  <si>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</si>
  <si>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</si>
  <si>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</si>
  <si>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</si>
  <si>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</si>
  <si>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</si>
  <si>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</si>
  <si>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</si>
  <si>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</si>
  <si>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</si>
  <si>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</si>
  <si>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</si>
  <si>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</si>
  <si>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</si>
  <si>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</si>
  <si>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</si>
  <si>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</si>
  <si>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</si>
  <si>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</si>
  <si>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</si>
  <si>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</si>
  <si>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</si>
  <si>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</si>
  <si>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</si>
  <si>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</si>
  <si>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</si>
  <si>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</si>
  <si>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</si>
  <si>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</si>
  <si>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</si>
  <si>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</si>
  <si>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</si>
  <si>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</si>
  <si>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</si>
  <si>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</si>
  <si>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</si>
  <si>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</si>
  <si>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</si>
  <si>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</si>
  <si>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</si>
  <si>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</si>
  <si>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</si>
  <si>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</si>
  <si>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</si>
  <si>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</si>
  <si>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</si>
  <si>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</si>
  <si>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</si>
  <si>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</si>
  <si>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</si>
  <si>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</si>
  <si>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</si>
  <si>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</si>
  <si>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</si>
  <si>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</si>
  <si>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</si>
  <si>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</si>
  <si>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</si>
  <si>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</si>
  <si>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</si>
  <si>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</si>
  <si>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</si>
  <si>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</si>
  <si>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</si>
  <si>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</si>
  <si>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</si>
  <si>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</si>
  <si>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</si>
  <si>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</si>
  <si>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</si>
  <si>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</si>
  <si>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</si>
  <si>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</si>
  <si>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</si>
  <si>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</si>
  <si>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</si>
  <si>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</si>
  <si>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</si>
  <si>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</si>
  <si>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</si>
  <si>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</si>
  <si>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</si>
  <si>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</si>
  <si>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</si>
  <si>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</si>
  <si>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</si>
  <si>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</si>
  <si>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</si>
  <si>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</si>
  <si>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</si>
  <si>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</si>
  <si>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</si>
  <si>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</si>
  <si>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</si>
  <si>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</si>
  <si>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</si>
  <si>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</si>
  <si>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</si>
  <si>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</si>
  <si>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</si>
  <si>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</si>
  <si>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</si>
  <si>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</si>
  <si>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</si>
  <si>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</si>
  <si>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</si>
  <si>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</si>
  <si>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</si>
  <si>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</si>
  <si>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</si>
  <si>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</si>
  <si>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</si>
  <si>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</si>
  <si>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</si>
  <si>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</si>
  <si>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</si>
  <si>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</si>
  <si>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</si>
  <si>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</si>
  <si>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</si>
  <si>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</si>
  <si>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</si>
  <si>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</si>
  <si>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</si>
  <si>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</si>
  <si>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</si>
  <si>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</si>
  <si>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</si>
  <si>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</si>
  <si>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</si>
  <si>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</si>
  <si>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</si>
  <si>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</si>
  <si>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</si>
  <si>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</si>
  <si>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</si>
  <si>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</si>
  <si>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</si>
  <si>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</si>
  <si>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</si>
  <si>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</si>
  <si>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</si>
  <si>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</si>
  <si>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</si>
  <si>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</si>
  <si>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</si>
  <si>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</si>
  <si>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</si>
  <si>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</si>
  <si>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</si>
  <si>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</si>
  <si>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</si>
  <si>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</si>
  <si>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</si>
  <si>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</si>
  <si>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</si>
  <si>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</si>
  <si>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</si>
  <si>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</si>
  <si>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</si>
  <si>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</si>
  <si>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</si>
  <si>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</si>
  <si>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</si>
  <si>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</si>
  <si>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</si>
  <si>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</si>
  <si>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</si>
  <si>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</si>
  <si>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</si>
  <si>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</si>
  <si>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</si>
  <si>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</si>
  <si>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</si>
  <si>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</si>
  <si>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</si>
  <si>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</si>
  <si>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</si>
  <si>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</si>
  <si>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</si>
  <si>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</si>
  <si>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</si>
  <si>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</si>
  <si>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</si>
  <si>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</si>
  <si>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</si>
  <si>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</si>
  <si>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</si>
  <si>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</si>
  <si>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</si>
  <si>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</si>
  <si>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</si>
  <si>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</si>
  <si>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</si>
  <si>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</si>
  <si>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</si>
  <si>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</si>
  <si>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</si>
  <si>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</si>
  <si>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</si>
  <si>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</si>
  <si>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</si>
  <si>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</si>
  <si>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</si>
  <si>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</si>
  <si>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</si>
  <si>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</si>
  <si>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</si>
  <si>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</si>
  <si>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</si>
  <si>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</si>
  <si>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</si>
  <si>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</si>
  <si>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</si>
  <si>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</si>
  <si>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</si>
  <si>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</si>
  <si>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</si>
  <si>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</si>
  <si>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</si>
  <si>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</si>
  <si>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</si>
  <si>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</si>
  <si>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</si>
  <si>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</si>
  <si>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</si>
  <si>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</si>
  <si>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</si>
  <si>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</si>
  <si>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</si>
  <si>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</si>
  <si>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</si>
  <si>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</si>
  <si>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</si>
  <si>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</si>
  <si>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</si>
  <si>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</si>
  <si>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</si>
  <si>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</si>
  <si>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</si>
  <si>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</si>
  <si>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</si>
  <si>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</si>
  <si>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</si>
  <si>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</si>
  <si>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</si>
  <si>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</si>
  <si>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</si>
  <si>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</si>
  <si>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</si>
  <si>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</si>
  <si>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</si>
  <si>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</si>
  <si>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</si>
  <si>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</si>
  <si>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</si>
  <si>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</si>
  <si>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</si>
  <si>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</si>
  <si>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</si>
  <si>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</si>
  <si>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</si>
  <si>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</si>
  <si>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</si>
  <si>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</si>
  <si>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</si>
  <si>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</si>
  <si>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</si>
  <si>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</si>
  <si>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</si>
  <si>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</si>
  <si>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</si>
  <si>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</si>
  <si>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</si>
  <si>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</si>
  <si>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</si>
  <si>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</si>
  <si>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</si>
  <si>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</si>
  <si>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</si>
  <si>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</si>
  <si>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</si>
  <si>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</si>
  <si>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</si>
  <si>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</si>
  <si>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</si>
  <si>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</si>
  <si>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</si>
  <si>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</si>
  <si>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</si>
  <si>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</si>
  <si>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</si>
  <si>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</si>
  <si>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</si>
  <si>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</si>
  <si>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</si>
  <si>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</si>
  <si>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</si>
  <si>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</si>
  <si>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</si>
  <si>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</si>
  <si>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</si>
  <si>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</si>
  <si>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</si>
  <si>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</si>
  <si>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</si>
  <si>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</si>
  <si>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</si>
  <si>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</si>
  <si>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</si>
  <si>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</si>
  <si>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</si>
  <si>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</si>
  <si>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</si>
  <si>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</si>
  <si>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</si>
  <si>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</si>
  <si>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</si>
  <si>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</si>
  <si>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</si>
  <si>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</si>
  <si>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</si>
  <si>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</si>
  <si>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</si>
  <si>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</si>
  <si>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</si>
  <si>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</si>
  <si>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</si>
  <si>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</si>
  <si>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</si>
  <si>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</si>
  <si>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</si>
  <si>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</si>
  <si>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</si>
  <si>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</si>
  <si>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</si>
  <si>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</si>
  <si>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</si>
  <si>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</si>
  <si>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</si>
  <si>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</si>
  <si>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</si>
  <si>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</si>
  <si>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</si>
  <si>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</si>
  <si>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</si>
  <si>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</si>
  <si>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</si>
  <si>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</si>
  <si>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</si>
  <si>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</si>
  <si>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</si>
  <si>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</si>
  <si>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</si>
  <si>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</si>
  <si>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</si>
  <si>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</si>
  <si>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</si>
  <si>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</si>
  <si>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</si>
  <si>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</si>
  <si>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</si>
  <si>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</si>
  <si>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</si>
  <si>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</si>
  <si>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</si>
  <si>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</si>
  <si>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</si>
  <si>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</si>
  <si>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</si>
  <si>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</si>
  <si>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</si>
  <si>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</si>
  <si>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</si>
  <si>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</si>
  <si>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</si>
  <si>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</si>
  <si>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</si>
  <si>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</si>
  <si>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</si>
  <si>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</si>
  <si>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</si>
  <si>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</si>
  <si>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</si>
  <si>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</si>
  <si>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</si>
  <si>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</si>
  <si>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</si>
  <si>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</si>
  <si>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</si>
  <si>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</si>
  <si>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</si>
  <si>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</si>
  <si>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</si>
  <si>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</si>
  <si>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</si>
  <si>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</si>
  <si>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</si>
  <si>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</si>
  <si>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</si>
  <si>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</si>
  <si>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</si>
  <si>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</si>
  <si>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</si>
  <si>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</si>
  <si>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</si>
  <si>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</si>
  <si>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</si>
  <si>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</si>
  <si>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</si>
  <si>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</si>
  <si>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</si>
  <si>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</si>
  <si>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</si>
  <si>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</si>
  <si>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</si>
  <si>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</si>
  <si>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</si>
  <si>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</si>
  <si>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</si>
  <si>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</si>
  <si>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</si>
  <si>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</si>
  <si>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</si>
  <si>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</si>
  <si>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</si>
  <si>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</si>
  <si>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</si>
  <si>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</si>
  <si>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</si>
  <si>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</si>
  <si>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</si>
  <si>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</si>
  <si>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</si>
  <si>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</si>
  <si>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</si>
  <si>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</si>
  <si>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</si>
  <si>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</si>
  <si>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</si>
  <si>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</si>
  <si>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</si>
  <si>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</si>
  <si>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</si>
  <si>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</si>
  <si>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</si>
  <si>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</si>
  <si>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</si>
  <si>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</si>
  <si>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</si>
  <si>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</si>
  <si>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</si>
  <si>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</si>
  <si>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</si>
  <si>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</si>
  <si>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</si>
  <si>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</si>
  <si>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</si>
  <si>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</si>
  <si>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</si>
  <si>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</si>
  <si>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</si>
  <si>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</si>
  <si>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</si>
  <si>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</si>
  <si>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</si>
  <si>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</si>
  <si>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</si>
  <si>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</si>
  <si>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</si>
  <si>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</si>
  <si>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</si>
  <si>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</si>
  <si>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</si>
  <si>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</si>
  <si>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</si>
  <si>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</si>
  <si>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</si>
  <si>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</si>
  <si>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</si>
  <si>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</si>
  <si>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</si>
  <si>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</si>
  <si>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</si>
  <si>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</si>
  <si>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</si>
  <si>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</si>
  <si>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</si>
  <si>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</si>
  <si>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</si>
  <si>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</si>
  <si>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</si>
  <si>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</si>
  <si>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</si>
  <si>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</si>
  <si>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</si>
  <si>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</si>
  <si>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</si>
  <si>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</si>
  <si>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</si>
  <si>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</si>
  <si>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</si>
  <si>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</si>
  <si>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</si>
  <si>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</si>
  <si>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</si>
  <si>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</si>
  <si>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</si>
  <si>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</si>
  <si>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</si>
  <si>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</si>
  <si>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</si>
  <si>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</si>
  <si>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</si>
  <si>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</si>
  <si>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</si>
  <si>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</si>
  <si>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</si>
  <si>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</si>
  <si>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</si>
  <si>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</si>
  <si>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</si>
  <si>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</si>
  <si>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</si>
  <si>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</si>
  <si>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</si>
  <si>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</si>
  <si>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</si>
  <si>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</si>
  <si>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</si>
  <si>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</si>
  <si>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</si>
  <si>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</si>
  <si>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</si>
  <si>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</si>
  <si>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</si>
  <si>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</si>
  <si>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</si>
  <si>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</si>
  <si>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</si>
  <si>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</si>
  <si>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</si>
  <si>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</si>
  <si>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</si>
  <si>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</si>
  <si>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</si>
  <si>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</si>
  <si>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</si>
  <si>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</si>
  <si>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</si>
  <si>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</si>
  <si>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</si>
  <si>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</si>
  <si>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</si>
  <si>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</si>
  <si>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</si>
  <si>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</si>
  <si>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</si>
  <si>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</si>
  <si>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</si>
  <si>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</si>
  <si>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</si>
  <si>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</si>
  <si>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</si>
  <si>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</si>
  <si>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</si>
  <si>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</si>
  <si>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</si>
  <si>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</si>
  <si>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</si>
  <si>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</si>
  <si>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</si>
  <si>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</si>
  <si>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</si>
  <si>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</si>
  <si>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</si>
  <si>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</si>
  <si>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</si>
  <si>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</si>
  <si>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</si>
  <si>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</si>
  <si>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</si>
  <si>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</si>
  <si>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</si>
  <si>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</si>
  <si>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</si>
  <si>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</si>
  <si>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</si>
  <si>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</si>
  <si>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</si>
  <si>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</si>
  <si>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</si>
  <si>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</si>
  <si>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</si>
  <si>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</si>
  <si>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</si>
  <si>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</si>
  <si>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</si>
  <si>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</si>
  <si>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</si>
  <si>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</si>
  <si>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</si>
  <si>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</si>
  <si>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</si>
  <si>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</si>
  <si>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</si>
  <si>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</si>
  <si>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</si>
  <si>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</si>
  <si>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</si>
  <si>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</si>
  <si>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</si>
  <si>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</si>
  <si>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</si>
  <si>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</si>
  <si>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</si>
  <si>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</si>
  <si>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</si>
  <si>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</si>
  <si>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</si>
  <si>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</si>
  <si>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</si>
  <si>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</si>
  <si>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</si>
  <si>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</si>
  <si>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</si>
  <si>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</si>
  <si>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</si>
  <si>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</si>
  <si>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</si>
  <si>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</si>
  <si>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</si>
  <si>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</si>
  <si>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</si>
  <si>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</si>
  <si>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</si>
  <si>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</si>
  <si>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</si>
  <si>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</si>
  <si>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</si>
  <si>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</si>
  <si>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</si>
  <si>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</si>
  <si>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</si>
  <si>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</si>
  <si>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</si>
  <si>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</si>
  <si>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</si>
  <si>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</si>
  <si>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</si>
  <si>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</si>
  <si>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</si>
  <si>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</si>
  <si>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</si>
  <si>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</si>
  <si>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</si>
  <si>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</si>
  <si>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</si>
  <si>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</si>
  <si>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</si>
  <si>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</si>
  <si>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</si>
  <si>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</si>
  <si>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</si>
  <si>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</si>
  <si>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</si>
  <si>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</si>
  <si>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</si>
  <si>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</si>
  <si>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</si>
  <si>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</si>
  <si>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</si>
  <si>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</si>
  <si>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</si>
  <si>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</si>
  <si>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</si>
  <si>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</si>
  <si>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</si>
  <si>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</si>
  <si>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</si>
  <si>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</si>
  <si>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</si>
  <si>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</si>
  <si>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</si>
  <si>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</si>
  <si>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</si>
  <si>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</si>
  <si>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</si>
  <si>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</si>
  <si>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</si>
  <si>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</si>
  <si>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</si>
  <si>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</si>
  <si>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</si>
  <si>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</si>
  <si>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</si>
  <si>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</si>
  <si>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</si>
  <si>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</si>
  <si>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</si>
  <si>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</si>
  <si>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</si>
  <si>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</si>
  <si>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</si>
  <si>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</si>
  <si>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</si>
  <si>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</si>
  <si>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</si>
  <si>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</si>
  <si>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</si>
  <si>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</si>
  <si>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</si>
  <si>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</si>
  <si>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</si>
  <si>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</si>
  <si>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</si>
  <si>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</si>
  <si>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</si>
  <si>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</si>
  <si>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</si>
  <si>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</si>
  <si>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</si>
  <si>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</si>
  <si>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</si>
  <si>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</si>
  <si>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</si>
  <si>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</si>
  <si>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</si>
  <si>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</si>
  <si>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</si>
  <si>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</si>
  <si>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</si>
  <si>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</si>
  <si>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</si>
  <si>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</si>
  <si>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</si>
  <si>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</si>
  <si>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</si>
  <si>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</si>
  <si>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</si>
  <si>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</si>
  <si>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</si>
  <si>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</si>
  <si>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</si>
  <si>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</si>
  <si>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</si>
  <si>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</si>
  <si>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</si>
  <si>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</si>
  <si>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</si>
  <si>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</si>
  <si>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</si>
  <si>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</si>
  <si>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</si>
  <si>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</si>
  <si>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</si>
  <si>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</si>
  <si>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</si>
  <si>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</si>
  <si>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</si>
  <si>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</si>
  <si>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</si>
  <si>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</si>
  <si>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</si>
  <si>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</si>
  <si>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</si>
  <si>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</si>
  <si>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</si>
  <si>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</si>
  <si>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</si>
  <si>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</si>
  <si>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</si>
  <si>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</si>
  <si>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</si>
  <si>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</si>
  <si>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</si>
  <si>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</si>
  <si>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</si>
  <si>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</si>
  <si>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</si>
  <si>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</si>
  <si>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</si>
  <si>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</si>
  <si>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</si>
  <si>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</si>
  <si>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</si>
  <si>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</si>
  <si>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</si>
  <si>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</si>
  <si>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</si>
  <si>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</si>
  <si>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</si>
  <si>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</si>
  <si>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</si>
  <si>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</si>
  <si>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</si>
  <si>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</si>
  <si>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</si>
  <si>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</si>
  <si>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</si>
  <si>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</si>
  <si>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</si>
  <si>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</si>
  <si>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</si>
  <si>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</si>
  <si>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</si>
  <si>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</si>
  <si>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</si>
  <si>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</si>
  <si>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</si>
  <si>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</si>
  <si>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</si>
  <si>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</si>
  <si>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</si>
  <si>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</si>
  <si>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</si>
  <si>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</si>
  <si>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</si>
  <si>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</si>
  <si>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</si>
  <si>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</si>
  <si>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</si>
  <si>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</si>
  <si>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</si>
  <si>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</si>
  <si>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</si>
  <si>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</si>
  <si>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</si>
  <si>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</si>
  <si>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</si>
  <si>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</si>
  <si>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</si>
  <si>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</si>
  <si>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</si>
  <si>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</si>
  <si>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</si>
  <si>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</si>
  <si>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</si>
  <si>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</si>
  <si>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</si>
  <si>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</si>
  <si>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</si>
  <si>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</si>
  <si>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</si>
  <si>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</si>
  <si>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</si>
  <si>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</si>
  <si>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</si>
  <si>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</si>
  <si>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</si>
  <si>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</si>
  <si>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</si>
  <si>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</si>
  <si>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</si>
  <si>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</si>
  <si>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</si>
  <si>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</si>
  <si>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</si>
  <si>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</si>
  <si>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</si>
  <si>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</si>
  <si>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</si>
  <si>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</si>
  <si>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</si>
  <si>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</si>
  <si>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</si>
  <si>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</si>
  <si>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</si>
  <si>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</si>
  <si>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</si>
  <si>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</si>
  <si>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</si>
  <si>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</si>
  <si>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</si>
  <si>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</si>
  <si>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</si>
  <si>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</si>
  <si>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</si>
  <si>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</si>
  <si>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</si>
  <si>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</si>
  <si>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</si>
  <si>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</si>
  <si>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</si>
  <si>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</si>
  <si>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</si>
  <si>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</si>
  <si>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</si>
  <si>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</si>
  <si>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</si>
  <si>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</si>
  <si>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</si>
  <si>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</si>
  <si>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</si>
  <si>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</si>
  <si>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</si>
  <si>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</si>
  <si>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</si>
  <si>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</si>
  <si>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</si>
  <si>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</si>
  <si>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</si>
  <si>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</si>
  <si>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</si>
  <si>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</si>
  <si>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</si>
  <si>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</si>
  <si>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</si>
  <si>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</si>
  <si>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</si>
  <si>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</si>
  <si>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</si>
  <si>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</si>
  <si>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</si>
  <si>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</si>
  <si>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</si>
  <si>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</si>
  <si>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</si>
  <si>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</si>
  <si>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</si>
  <si>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</si>
  <si>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</si>
  <si>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</si>
  <si>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</si>
  <si>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</si>
  <si>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</si>
  <si>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</si>
  <si>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</si>
  <si>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</si>
  <si>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</si>
  <si>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</si>
  <si>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</si>
  <si>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</si>
  <si>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</si>
  <si>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</si>
  <si>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</si>
  <si>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</si>
  <si>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</si>
  <si>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</si>
  <si>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</si>
  <si>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</si>
  <si>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</si>
  <si>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</si>
  <si>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</si>
  <si>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</si>
  <si>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</si>
  <si>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</si>
  <si>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</si>
  <si>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</si>
  <si>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</si>
  <si>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</si>
  <si>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</si>
  <si>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</si>
  <si>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</si>
  <si>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</si>
  <si>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</si>
  <si>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</si>
  <si>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</si>
  <si>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</si>
  <si>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</si>
  <si>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</si>
  <si>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</si>
  <si>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</si>
  <si>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</si>
  <si>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</si>
  <si>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</si>
  <si>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</si>
  <si>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</si>
  <si>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</si>
  <si>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</si>
  <si>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</si>
  <si>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</si>
  <si>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</si>
  <si>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</si>
  <si>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</si>
  <si>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</si>
  <si>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</si>
  <si>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</si>
  <si>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</si>
  <si>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</si>
  <si>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</si>
  <si>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</si>
  <si>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</si>
  <si>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</si>
  <si>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</si>
  <si>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</si>
  <si>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</si>
  <si>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</si>
  <si>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</si>
  <si>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</si>
  <si>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</si>
  <si>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</si>
  <si>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</si>
  <si>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</si>
  <si>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</si>
  <si>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</si>
  <si>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</si>
  <si>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</si>
  <si>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</si>
  <si>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</si>
  <si>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</si>
  <si>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</si>
  <si>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</si>
  <si>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</si>
  <si>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</si>
  <si>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</si>
  <si>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</si>
  <si>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</si>
  <si>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</si>
  <si>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</si>
  <si>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</si>
  <si>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</si>
  <si>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</si>
  <si>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</si>
  <si>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</si>
  <si>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</si>
  <si>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</si>
  <si>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</si>
  <si>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</si>
  <si>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</si>
  <si>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</si>
  <si>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</si>
  <si>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</si>
  <si>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</si>
  <si>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</si>
  <si>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</si>
  <si>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</si>
  <si>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</si>
  <si>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</si>
  <si>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</si>
  <si>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</si>
  <si>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</si>
  <si>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</si>
  <si>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</si>
  <si>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</si>
  <si>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</si>
  <si>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</si>
  <si>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</si>
  <si>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</si>
  <si>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</si>
  <si>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</si>
  <si>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</si>
  <si>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</si>
  <si>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</si>
  <si>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</si>
  <si>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</si>
  <si>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</si>
  <si>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</si>
  <si>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</si>
  <si>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</si>
  <si>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</si>
  <si>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</si>
  <si>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</si>
  <si>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</si>
  <si>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</si>
  <si>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</si>
  <si>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</si>
  <si>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</si>
  <si>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</si>
  <si>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</si>
  <si>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</si>
  <si>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</si>
  <si>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</si>
  <si>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</si>
  <si>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</si>
  <si>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</si>
  <si>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</si>
  <si>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</si>
  <si>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</si>
  <si>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</si>
  <si>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</si>
  <si>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</si>
  <si>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</si>
  <si>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</si>
  <si>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</si>
  <si>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</si>
  <si>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</si>
  <si>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</si>
  <si>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</si>
  <si>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</si>
  <si>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</si>
  <si>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</si>
  <si>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</si>
  <si>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</si>
  <si>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</si>
  <si>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</si>
  <si>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</si>
  <si>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</si>
  <si>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</si>
  <si>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</si>
  <si>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</si>
  <si>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</si>
  <si>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</si>
  <si>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</si>
  <si>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</si>
  <si>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</si>
  <si>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</si>
  <si>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</si>
  <si>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</si>
  <si>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</si>
  <si>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</si>
  <si>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</si>
  <si>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</si>
  <si>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</si>
  <si>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</si>
  <si>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</si>
  <si>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</si>
  <si>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</si>
  <si>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</si>
  <si>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</si>
  <si>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</si>
  <si>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</si>
  <si>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</si>
  <si>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</si>
  <si>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</si>
  <si>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</si>
  <si>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</si>
  <si>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</si>
  <si>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</si>
  <si>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</si>
  <si>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</si>
  <si>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</si>
  <si>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</si>
  <si>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</si>
  <si>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</si>
  <si>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</si>
  <si>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</si>
  <si>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</si>
  <si>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</si>
  <si>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</si>
  <si>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</si>
  <si>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</si>
  <si>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</si>
  <si>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</si>
  <si>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</si>
  <si>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</si>
  <si>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</si>
  <si>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</si>
  <si>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</si>
  <si>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</si>
  <si>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</si>
  <si>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</si>
  <si>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</si>
  <si>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</si>
  <si>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</si>
  <si>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</si>
  <si>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</si>
  <si>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</si>
  <si>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</si>
  <si>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</si>
  <si>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</si>
  <si>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</si>
  <si>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</si>
  <si>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</si>
  <si>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</si>
  <si>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</si>
  <si>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</si>
  <si>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</si>
  <si>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</si>
  <si>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</si>
  <si>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</si>
  <si>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</si>
  <si>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</si>
  <si>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</si>
  <si>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</si>
  <si>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</si>
  <si>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</si>
  <si>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</si>
  <si>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</si>
  <si>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</si>
  <si>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</si>
  <si>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</si>
  <si>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</si>
  <si>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</si>
  <si>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</si>
  <si>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</si>
  <si>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</si>
  <si>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</si>
  <si>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</si>
  <si>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</si>
  <si>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</si>
  <si>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</si>
  <si>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</si>
  <si>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</si>
  <si>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</si>
  <si>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</si>
  <si>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</si>
  <si>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</si>
  <si>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</si>
  <si>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</si>
  <si>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</si>
  <si>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</si>
  <si>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</si>
  <si>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</si>
  <si>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</si>
  <si>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</si>
  <si>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</si>
  <si>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</si>
  <si>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</si>
  <si>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</si>
  <si>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</si>
  <si>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</si>
  <si>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</si>
  <si>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</si>
  <si>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</si>
  <si>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</si>
  <si>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</si>
  <si>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</si>
  <si>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</si>
  <si>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</si>
  <si>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</si>
  <si>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</si>
  <si>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</si>
  <si>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</si>
  <si>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</si>
  <si>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</si>
  <si>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</si>
  <si>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</si>
  <si>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</si>
  <si>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</si>
  <si>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</si>
  <si>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</si>
  <si>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</si>
  <si>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</si>
  <si>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</si>
  <si>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</si>
  <si>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</si>
  <si>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</si>
  <si>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</si>
  <si>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</si>
  <si>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</si>
  <si>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</si>
  <si>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</si>
  <si>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</si>
  <si>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</si>
  <si>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</si>
  <si>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</si>
  <si>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</si>
  <si>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</si>
  <si>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</si>
  <si>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</si>
  <si>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</si>
  <si>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</si>
  <si>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</si>
  <si>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</si>
  <si>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</si>
  <si>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</si>
  <si>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</si>
  <si>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</si>
  <si>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</si>
  <si>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</si>
  <si>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</si>
  <si>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</si>
  <si>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</si>
  <si>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</si>
  <si>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</si>
  <si>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</si>
  <si>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</si>
  <si>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</si>
  <si>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</si>
  <si>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</si>
  <si>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</si>
  <si>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</si>
  <si>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</si>
  <si>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</si>
  <si>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</si>
  <si>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</si>
  <si>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</si>
  <si>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</si>
  <si>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</si>
  <si>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</si>
  <si>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</si>
  <si>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</si>
  <si>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</si>
  <si>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</si>
  <si>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</si>
  <si>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</si>
  <si>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</si>
  <si>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</si>
  <si>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</si>
  <si>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</si>
  <si>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</si>
  <si>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</si>
  <si>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</si>
  <si>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</si>
  <si>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</si>
  <si>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</si>
  <si>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</si>
  <si>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</si>
  <si>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</si>
  <si>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</si>
  <si>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</si>
  <si>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</si>
  <si>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</si>
  <si>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</si>
  <si>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</si>
  <si>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</si>
  <si>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</si>
  <si>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</si>
  <si>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</si>
  <si>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</si>
  <si>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</si>
  <si>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</si>
  <si>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</si>
  <si>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</si>
  <si>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</si>
  <si>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</si>
  <si>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</si>
  <si>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</si>
  <si>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</si>
  <si>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</si>
  <si>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</si>
  <si>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</si>
  <si>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</si>
  <si>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</si>
  <si>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</si>
  <si>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</si>
  <si>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</si>
  <si>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</si>
  <si>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</si>
  <si>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</si>
  <si>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</si>
  <si>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</si>
  <si>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</si>
  <si>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</si>
  <si>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</si>
  <si>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</si>
  <si>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</si>
  <si>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</si>
  <si>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</si>
  <si>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</si>
  <si>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</si>
  <si>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</si>
  <si>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</si>
  <si>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</si>
  <si>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</si>
  <si>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</si>
  <si>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</si>
  <si>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</si>
  <si>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</si>
  <si>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</si>
  <si>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</si>
  <si>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</si>
  <si>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</si>
  <si>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</si>
  <si>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</si>
  <si>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</si>
  <si>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</si>
  <si>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</si>
  <si>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</si>
  <si>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</si>
  <si>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</si>
  <si>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</si>
  <si>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</si>
  <si>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</si>
  <si>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</si>
  <si>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</si>
  <si>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</si>
  <si>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</si>
  <si>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</si>
  <si>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</si>
  <si>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</si>
  <si>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</si>
  <si>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</si>
  <si>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</si>
  <si>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</si>
  <si>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</si>
  <si>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</si>
  <si>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</si>
  <si>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</si>
  <si>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</si>
  <si>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</si>
  <si>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</si>
  <si>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</si>
  <si>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</si>
  <si>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</si>
  <si>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</si>
  <si>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</si>
  <si>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</si>
  <si>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</si>
  <si>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</si>
  <si>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</si>
  <si>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</si>
  <si>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</si>
  <si>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</si>
  <si>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</si>
  <si>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</si>
  <si>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</si>
  <si>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</si>
  <si>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</si>
  <si>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</si>
  <si>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</si>
  <si>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</si>
  <si>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</si>
  <si>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</si>
  <si>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</si>
  <si>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</si>
  <si>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</si>
  <si>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</si>
  <si>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</si>
  <si>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</si>
  <si>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</si>
  <si>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</si>
  <si>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</si>
  <si>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</si>
  <si>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</si>
  <si>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</si>
  <si>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</si>
  <si>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</si>
  <si>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</si>
  <si>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</si>
  <si>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</si>
  <si>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</si>
  <si>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</si>
  <si>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</si>
  <si>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</si>
  <si>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</si>
  <si>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</si>
  <si>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</si>
  <si>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</si>
  <si>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</si>
  <si>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</si>
  <si>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</si>
  <si>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</si>
  <si>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</si>
  <si>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</si>
  <si>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</si>
  <si>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</si>
  <si>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</si>
  <si>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</si>
  <si>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</si>
  <si>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</si>
  <si>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</si>
  <si>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</si>
  <si>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</si>
  <si>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</si>
  <si>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</si>
  <si>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</si>
  <si>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</si>
  <si>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</si>
  <si>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</si>
  <si>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</si>
  <si>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</si>
  <si>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</si>
  <si>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</si>
  <si>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</si>
  <si>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</si>
  <si>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</si>
  <si>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</si>
  <si>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</si>
  <si>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</si>
  <si>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</si>
  <si>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</si>
  <si>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</si>
  <si>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</si>
  <si>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</si>
  <si>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</si>
  <si>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</si>
  <si>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</si>
  <si>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</si>
  <si>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</si>
  <si>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</si>
  <si>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</si>
  <si>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</si>
  <si>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</si>
  <si>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</si>
  <si>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</si>
  <si>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</si>
  <si>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</si>
  <si>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</si>
  <si>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</si>
  <si>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</si>
  <si>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</si>
  <si>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</si>
  <si>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</si>
  <si>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</si>
  <si>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</si>
  <si>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</si>
  <si>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</si>
  <si>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</si>
  <si>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</si>
  <si>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</si>
  <si>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</si>
  <si>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</si>
  <si>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</si>
  <si>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</si>
  <si>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</si>
  <si>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</si>
  <si>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</si>
  <si>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</si>
  <si>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</si>
  <si>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</si>
  <si>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</si>
  <si>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</si>
  <si>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</si>
  <si>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</si>
  <si>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</si>
  <si>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</si>
  <si>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</si>
  <si>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</si>
  <si>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</si>
  <si>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</si>
  <si>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</si>
  <si>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</si>
  <si>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</si>
  <si>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</si>
  <si>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</si>
  <si>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</si>
  <si>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</si>
  <si>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</si>
  <si>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</si>
  <si>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</si>
  <si>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</si>
  <si>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</si>
  <si>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</si>
  <si>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</si>
  <si>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</si>
  <si>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</si>
  <si>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</si>
  <si>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</si>
  <si>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</si>
  <si>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</si>
  <si>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</si>
  <si>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</si>
  <si>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</si>
  <si>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</si>
  <si>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</si>
  <si>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</si>
  <si>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</si>
  <si>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</si>
  <si>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</si>
  <si>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</si>
  <si>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</si>
  <si>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</si>
  <si>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</si>
  <si>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</si>
  <si>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</si>
  <si>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</si>
  <si>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</si>
  <si>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</si>
  <si>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</si>
  <si>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</si>
  <si>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</si>
  <si>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</si>
  <si>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</si>
  <si>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</si>
  <si>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</si>
  <si>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</si>
  <si>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</si>
  <si>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</si>
  <si>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</si>
  <si>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</si>
  <si>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</si>
  <si>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</si>
  <si>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</si>
  <si>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</si>
  <si>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</si>
  <si>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</si>
  <si>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</si>
  <si>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</si>
  <si>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</si>
  <si>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</si>
  <si>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</si>
  <si>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</si>
  <si>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</si>
  <si>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</si>
  <si>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</si>
  <si>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</si>
  <si>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</si>
  <si>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</si>
  <si>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</si>
  <si>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</si>
  <si>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</si>
  <si>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</si>
  <si>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</si>
  <si>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</si>
  <si>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</si>
  <si>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</si>
  <si>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</si>
  <si>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</si>
  <si>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</si>
  <si>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</si>
  <si>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</si>
  <si>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</si>
  <si>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</si>
  <si>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</si>
  <si>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</si>
  <si>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</si>
  <si>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</si>
  <si>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</si>
  <si>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</si>
  <si>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</si>
  <si>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</si>
  <si>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</si>
  <si>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</si>
  <si>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</si>
  <si>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</si>
  <si>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</si>
  <si>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</si>
  <si>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</si>
  <si>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</si>
  <si>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</si>
  <si>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</si>
  <si>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</si>
  <si>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</si>
  <si>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</si>
  <si>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</si>
  <si>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</si>
  <si>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</si>
  <si>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</si>
  <si>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</si>
  <si>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</si>
  <si>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</si>
  <si>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</si>
  <si>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</si>
  <si>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</si>
  <si>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</si>
  <si>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</si>
  <si>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</si>
  <si>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</si>
  <si>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</si>
  <si>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</si>
  <si>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</si>
  <si>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</si>
  <si>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</si>
  <si>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</si>
  <si>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</si>
  <si>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</si>
  <si>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</si>
  <si>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</si>
  <si>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</si>
  <si>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</si>
  <si>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</si>
  <si>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</si>
  <si>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</si>
  <si>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</si>
  <si>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</si>
  <si>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</si>
  <si>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</si>
  <si>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</si>
  <si>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</si>
  <si>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</si>
  <si>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</si>
  <si>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</si>
  <si>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</si>
  <si>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</si>
  <si>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</si>
  <si>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</si>
  <si>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</si>
  <si>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</si>
  <si>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</si>
  <si>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</si>
  <si>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</si>
  <si>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</si>
  <si>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</si>
  <si>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</si>
  <si>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</si>
  <si>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</si>
  <si>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</si>
  <si>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</si>
  <si>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</si>
  <si>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</si>
  <si>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</si>
  <si>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</si>
  <si>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</si>
  <si>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</si>
  <si>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</si>
  <si>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</si>
  <si>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</si>
  <si>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</si>
  <si>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</si>
  <si>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</si>
  <si>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</si>
  <si>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</si>
  <si>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</si>
  <si>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</si>
  <si>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</si>
  <si>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</si>
  <si>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</si>
  <si>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</si>
  <si>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</si>
  <si>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</si>
  <si>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</si>
  <si>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</si>
  <si>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</si>
  <si>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</si>
  <si>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</si>
  <si>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</si>
  <si>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</si>
  <si>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</si>
  <si>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</si>
  <si>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</si>
  <si>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</si>
  <si>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</si>
  <si>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</si>
  <si>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</si>
  <si>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</si>
  <si>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</si>
  <si>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</si>
  <si>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</si>
  <si>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</si>
  <si>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</si>
  <si>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</si>
  <si>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</si>
  <si>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</si>
  <si>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</si>
  <si>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</si>
  <si>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</si>
  <si>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</si>
  <si>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</si>
  <si>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</si>
  <si>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</si>
  <si>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</si>
  <si>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</si>
  <si>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</si>
  <si>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</si>
  <si>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</si>
  <si>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</si>
  <si>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</si>
  <si>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</si>
  <si>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</si>
  <si>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</si>
  <si>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</si>
  <si>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</si>
  <si>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</si>
  <si>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</si>
  <si>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</si>
  <si>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</si>
  <si>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</si>
  <si>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</si>
  <si>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</si>
  <si>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</si>
  <si>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</si>
  <si>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</si>
  <si>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</si>
  <si>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</si>
  <si>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</si>
  <si>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</si>
  <si>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</si>
  <si>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</si>
  <si>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</si>
  <si>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</si>
  <si>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</si>
  <si>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</si>
  <si>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</si>
  <si>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</si>
  <si>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</si>
  <si>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</si>
  <si>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</si>
  <si>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</si>
  <si>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</si>
  <si>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</si>
  <si>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</si>
  <si>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</si>
  <si>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</si>
  <si>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</si>
  <si>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</si>
  <si>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</si>
  <si>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</si>
  <si>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</si>
  <si>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</si>
  <si>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</si>
  <si>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</si>
  <si>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</si>
  <si>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</si>
  <si>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</si>
  <si>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</si>
  <si>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</si>
  <si>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</si>
  <si>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</si>
  <si>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</si>
  <si>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</si>
  <si>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</si>
  <si>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</si>
  <si>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</si>
  <si>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</si>
  <si>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</si>
  <si>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</si>
  <si>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</si>
  <si>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</si>
  <si>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</si>
  <si>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</si>
  <si>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</si>
  <si>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</si>
  <si>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</si>
  <si>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</si>
  <si>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</si>
  <si>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</si>
  <si>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</si>
  <si>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</si>
  <si>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</si>
  <si>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</si>
  <si>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</si>
  <si>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</si>
  <si>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</si>
  <si>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</si>
  <si>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</si>
  <si>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</si>
  <si>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</si>
  <si>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</si>
  <si>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</si>
  <si>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</si>
  <si>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</si>
  <si>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</si>
  <si>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</si>
  <si>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</si>
  <si>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</si>
  <si>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</si>
  <si>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</si>
  <si>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</si>
  <si>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</si>
  <si>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</si>
  <si>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</si>
  <si>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</si>
  <si>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</si>
  <si>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</si>
  <si>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</si>
  <si>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</si>
  <si>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</si>
  <si>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</si>
  <si>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</si>
  <si>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</si>
  <si>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</si>
  <si>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</si>
  <si>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</si>
  <si>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</si>
  <si>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</si>
  <si>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</si>
  <si>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</si>
  <si>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</si>
  <si>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</si>
  <si>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</si>
  <si>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</si>
  <si>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</si>
  <si>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</si>
  <si>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</si>
  <si>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</si>
  <si>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</si>
  <si>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</si>
  <si>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</si>
  <si>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</si>
  <si>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</si>
  <si>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</si>
  <si>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</si>
  <si>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</si>
  <si>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</si>
  <si>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</si>
  <si>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</si>
  <si>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</si>
  <si>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</si>
  <si>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</si>
  <si>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</si>
  <si>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</si>
  <si>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</si>
  <si>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</si>
  <si>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</si>
  <si>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</si>
  <si>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</si>
  <si>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</si>
  <si>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</si>
  <si>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</si>
  <si>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</si>
  <si>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</si>
  <si>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</si>
  <si>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</si>
  <si>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</si>
  <si>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</si>
  <si>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</si>
  <si>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</si>
  <si>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</si>
  <si>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</si>
  <si>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</si>
  <si>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</si>
  <si>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</si>
  <si>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</si>
  <si>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</si>
  <si>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</si>
  <si>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</si>
  <si>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</si>
  <si>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</si>
  <si>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</si>
  <si>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</si>
  <si>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</si>
  <si>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</si>
  <si>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</si>
  <si>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</si>
  <si>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</si>
  <si>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</si>
  <si>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</si>
  <si>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</si>
  <si>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</si>
  <si>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</si>
  <si>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</si>
  <si>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</si>
  <si>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</si>
  <si>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</si>
  <si>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</si>
  <si>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</si>
  <si>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</si>
  <si>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</si>
  <si>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</si>
  <si>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</si>
  <si>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</si>
  <si>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</si>
  <si>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</si>
  <si>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</si>
  <si>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</si>
  <si>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</si>
  <si>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</si>
  <si>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</si>
  <si>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</si>
  <si>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</si>
  <si>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</si>
  <si>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</si>
  <si>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</si>
  <si>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</si>
  <si>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</si>
  <si>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</si>
  <si>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</si>
  <si>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</si>
  <si>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</si>
  <si>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</si>
  <si>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</si>
  <si>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</si>
  <si>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</si>
  <si>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</si>
  <si>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</si>
  <si>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</si>
  <si>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</si>
  <si>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</si>
  <si>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</si>
  <si>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</si>
  <si>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</si>
  <si>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</si>
  <si>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</si>
  <si>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</si>
  <si>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</si>
  <si>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</si>
  <si>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</si>
  <si>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</si>
  <si>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</si>
  <si>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</si>
  <si>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</si>
  <si>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</si>
  <si>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</si>
  <si>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</si>
  <si>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</si>
  <si>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</si>
  <si>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</si>
  <si>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</si>
  <si>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</si>
  <si>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</si>
  <si>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</si>
  <si>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</si>
  <si>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</si>
  <si>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</si>
  <si>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</si>
  <si>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</si>
  <si>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</si>
  <si>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</si>
  <si>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</si>
  <si>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</si>
  <si>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</si>
  <si>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</si>
  <si>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</si>
  <si>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</si>
  <si>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</si>
  <si>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</si>
  <si>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</si>
  <si>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</si>
  <si>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</si>
  <si>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</si>
  <si>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</si>
  <si>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</si>
  <si>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</si>
  <si>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</si>
  <si>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</si>
  <si>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</si>
  <si>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</si>
  <si>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</si>
  <si>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</si>
  <si>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</si>
  <si>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</si>
  <si>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</si>
  <si>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</si>
  <si>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</si>
  <si>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</si>
  <si>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</si>
  <si>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</si>
  <si>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</si>
  <si>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</si>
  <si>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</si>
  <si>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</si>
  <si>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</si>
  <si>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</si>
  <si>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</si>
  <si>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</si>
  <si>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</si>
  <si>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</si>
  <si>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</si>
  <si>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</si>
  <si>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</si>
  <si>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</si>
  <si>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</si>
  <si>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</si>
  <si>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</si>
  <si>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</si>
  <si>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</si>
  <si>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</si>
  <si>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</si>
  <si>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</si>
  <si>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</si>
  <si>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</si>
  <si>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</si>
  <si>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</si>
  <si>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</si>
  <si>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</si>
  <si>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</si>
  <si>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</si>
  <si>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</si>
  <si>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</si>
  <si>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</si>
  <si>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</si>
  <si>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</si>
  <si>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</si>
  <si>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</si>
  <si>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</si>
  <si>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</si>
  <si>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</si>
  <si>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</si>
  <si>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</si>
  <si>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</si>
  <si>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</si>
  <si>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</si>
  <si>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</si>
  <si>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</si>
  <si>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</si>
  <si>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</si>
  <si>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</si>
  <si>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</si>
  <si>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</si>
  <si>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</si>
  <si>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</si>
  <si>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</si>
  <si>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</si>
  <si>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</si>
  <si>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</si>
  <si>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</si>
  <si>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</si>
  <si>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</si>
  <si>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</si>
  <si>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</si>
  <si>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</si>
  <si>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</si>
  <si>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</si>
  <si>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</si>
  <si>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</si>
  <si>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</si>
  <si>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</si>
  <si>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</si>
  <si>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</si>
  <si>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</si>
  <si>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</si>
  <si>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</si>
  <si>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</si>
  <si>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</si>
  <si>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</si>
  <si>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</si>
  <si>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</si>
  <si>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</si>
  <si>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</si>
  <si>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</si>
  <si>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</si>
  <si>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</si>
  <si>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</si>
  <si>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</si>
  <si>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</si>
  <si>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</si>
  <si>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</si>
  <si>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</si>
  <si>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</si>
  <si>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</si>
  <si>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</si>
  <si>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</si>
  <si>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</si>
  <si>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</si>
  <si>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</si>
  <si>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</si>
  <si>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</si>
  <si>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</si>
  <si>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</si>
  <si>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</si>
  <si>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</si>
  <si>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</si>
  <si>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</si>
  <si>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</si>
  <si>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</si>
  <si>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</si>
  <si>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</si>
  <si>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</si>
  <si>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</si>
  <si>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</si>
  <si>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</si>
  <si>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</si>
  <si>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</si>
  <si>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</si>
  <si>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</si>
  <si>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</si>
  <si>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</si>
  <si>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</si>
  <si>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</si>
  <si>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</si>
  <si>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</si>
  <si>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</si>
  <si>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</si>
  <si>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</si>
  <si>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</si>
  <si>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</si>
  <si>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</si>
  <si>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</si>
  <si>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</si>
  <si>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</si>
  <si>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</si>
  <si>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</si>
  <si>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</si>
  <si>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</si>
  <si>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</si>
  <si>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</si>
  <si>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</si>
  <si>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</si>
  <si>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</si>
  <si>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</si>
  <si>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</si>
  <si>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</si>
  <si>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</si>
  <si>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</si>
  <si>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</si>
  <si>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</si>
  <si>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</si>
  <si>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</si>
  <si>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</si>
  <si>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</si>
  <si>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</si>
  <si>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</si>
  <si>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</si>
  <si>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</si>
  <si>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</si>
  <si>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</si>
  <si>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</si>
  <si>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</si>
  <si>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</si>
  <si>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</si>
  <si>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</si>
  <si>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</si>
  <si>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</si>
  <si>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</si>
  <si>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</si>
  <si>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</si>
  <si>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</si>
  <si>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</si>
  <si>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</si>
  <si>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</si>
  <si>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</si>
  <si>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</si>
  <si>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</si>
  <si>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</si>
  <si>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</si>
  <si>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</si>
  <si>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</si>
  <si>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</si>
  <si>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</si>
  <si>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</si>
  <si>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</si>
  <si>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</si>
  <si>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</si>
  <si>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</si>
  <si>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</si>
  <si>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</si>
  <si>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</si>
  <si>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</si>
  <si>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</si>
  <si>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</si>
  <si>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</si>
  <si>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</si>
  <si>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</si>
  <si>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</si>
  <si>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</si>
  <si>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</si>
  <si>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</si>
  <si>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</si>
  <si>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</si>
  <si>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</si>
  <si>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</si>
  <si>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</si>
  <si>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</si>
  <si>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</si>
  <si>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</si>
  <si>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</si>
  <si>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</si>
  <si>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</si>
  <si>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</si>
  <si>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</si>
  <si>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</si>
  <si>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</si>
  <si>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</si>
  <si>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</si>
  <si>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</si>
  <si>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</si>
  <si>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</si>
  <si>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</si>
  <si>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</si>
  <si>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</si>
  <si>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</si>
  <si>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</si>
  <si>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</si>
  <si>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</si>
  <si>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</si>
  <si>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</si>
  <si>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</si>
  <si>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</si>
  <si>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</si>
  <si>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</si>
  <si>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</si>
  <si>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</si>
  <si>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</si>
  <si>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</si>
  <si>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</si>
  <si>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</si>
  <si>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</si>
  <si>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</si>
  <si>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</si>
  <si>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</si>
  <si>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</si>
  <si>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</si>
  <si>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</si>
  <si>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</si>
  <si>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</si>
  <si>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</si>
  <si>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</si>
  <si>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</si>
  <si>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</si>
  <si>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</si>
  <si>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</si>
  <si>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</si>
  <si>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</si>
  <si>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</si>
  <si>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</si>
  <si>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</si>
  <si>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</si>
  <si>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</si>
  <si>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</si>
  <si>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</si>
  <si>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</si>
  <si>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</si>
  <si>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</si>
  <si>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</si>
  <si>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</si>
  <si>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</si>
  <si>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</si>
  <si>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</si>
  <si>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</si>
  <si>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</si>
  <si>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</si>
  <si>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</si>
  <si>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</si>
  <si>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</si>
  <si>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</si>
  <si>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</si>
  <si>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</si>
  <si>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</si>
  <si>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</si>
  <si>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</si>
  <si>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</si>
  <si>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</si>
  <si>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</si>
  <si>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</si>
  <si>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</si>
  <si>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</si>
  <si>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</si>
  <si>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</si>
  <si>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</si>
  <si>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</si>
  <si>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</si>
  <si>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</si>
  <si>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</si>
  <si>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</si>
  <si>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</si>
  <si>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</si>
  <si>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</si>
  <si>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</si>
  <si>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</si>
  <si>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</si>
  <si>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</si>
  <si>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</si>
  <si>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</si>
  <si>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</si>
  <si>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</si>
  <si>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</si>
  <si>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</si>
  <si>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</si>
  <si>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</si>
  <si>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</si>
  <si>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</si>
  <si>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</si>
  <si>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</si>
  <si>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</si>
  <si>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</si>
  <si>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</si>
  <si>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</si>
  <si>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</si>
  <si>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</si>
  <si>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</si>
  <si>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</si>
  <si>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</si>
  <si>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</si>
  <si>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</si>
  <si>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</si>
  <si>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</si>
  <si>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</si>
  <si>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</si>
  <si>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</si>
  <si>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</si>
  <si>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</si>
  <si>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</si>
  <si>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</si>
  <si>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</si>
  <si>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</si>
  <si>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</si>
  <si>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</si>
  <si>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</si>
  <si>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</si>
  <si>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</si>
  <si>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</si>
  <si>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</si>
  <si>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</si>
  <si>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</si>
  <si>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</si>
  <si>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</si>
  <si>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</si>
  <si>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</si>
  <si>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</si>
  <si>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</si>
  <si>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</si>
  <si>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</si>
  <si>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</si>
  <si>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</si>
  <si>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</si>
  <si>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</si>
  <si>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</si>
  <si>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</si>
  <si>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</si>
  <si>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</si>
  <si>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</si>
  <si>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</si>
  <si>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</si>
  <si>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</si>
  <si>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</si>
  <si>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</si>
  <si>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</si>
  <si>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</si>
  <si>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</si>
  <si>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</si>
  <si>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</si>
  <si>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</si>
  <si>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</si>
  <si>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</si>
  <si>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</si>
  <si>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</si>
  <si>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</si>
  <si>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</si>
  <si>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</si>
  <si>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</si>
  <si>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</si>
  <si>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</si>
  <si>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</si>
  <si>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</si>
  <si>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</si>
  <si>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</si>
  <si>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</si>
  <si>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</si>
  <si>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</si>
  <si>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</si>
  <si>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</si>
  <si>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</si>
  <si>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</si>
  <si>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</si>
  <si>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</si>
  <si>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</si>
  <si>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</si>
  <si>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</si>
  <si>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</si>
  <si>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</si>
  <si>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</si>
  <si>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</si>
  <si>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</si>
  <si>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</si>
  <si>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</si>
  <si>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</si>
  <si>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</si>
  <si>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</si>
  <si>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</si>
  <si>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</si>
  <si>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</si>
  <si>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</si>
  <si>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</si>
  <si>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</si>
  <si>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</si>
  <si>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</si>
  <si>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</si>
  <si>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</si>
  <si>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</si>
  <si>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</si>
  <si>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</si>
  <si>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</si>
  <si>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</si>
  <si>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</si>
  <si>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</si>
  <si>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</si>
  <si>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</si>
  <si>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</si>
  <si>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</si>
  <si>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</si>
  <si>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</si>
  <si>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</si>
  <si>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</si>
  <si>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</si>
  <si>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</si>
  <si>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</si>
  <si>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</si>
  <si>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</si>
  <si>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</si>
  <si>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</si>
  <si>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</si>
  <si>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</si>
  <si>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</si>
  <si>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</si>
  <si>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</si>
  <si>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</si>
  <si>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</si>
  <si>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</si>
  <si>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</si>
  <si>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</si>
  <si>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</si>
  <si>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</si>
  <si>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</si>
  <si>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</si>
  <si>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</si>
  <si>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</si>
  <si>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</si>
  <si>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</si>
  <si>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</si>
  <si>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</si>
  <si>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</si>
  <si>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</si>
  <si>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</si>
  <si>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</si>
  <si>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</si>
  <si>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</si>
  <si>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</si>
  <si>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</si>
  <si>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</si>
  <si>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</si>
  <si>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</si>
  <si>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</si>
  <si>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</si>
  <si>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</si>
  <si>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</si>
  <si>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</si>
  <si>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</si>
  <si>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</si>
  <si>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</si>
  <si>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</si>
  <si>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</si>
  <si>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</si>
  <si>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</si>
  <si>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</si>
  <si>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</si>
  <si>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</si>
  <si>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</si>
  <si>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</si>
  <si>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</si>
  <si>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</si>
  <si>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</si>
  <si>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</si>
  <si>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</si>
  <si>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</si>
  <si>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</si>
  <si>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</si>
  <si>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</si>
  <si>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</si>
  <si>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</si>
  <si>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</si>
  <si>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</si>
  <si>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</si>
  <si>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</si>
  <si>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</si>
  <si>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</si>
  <si>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</si>
  <si>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</si>
  <si>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</si>
  <si>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</si>
  <si>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</si>
  <si>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</si>
  <si>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</si>
  <si>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</si>
  <si>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</si>
  <si>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</si>
  <si>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</si>
  <si>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</si>
  <si>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</si>
  <si>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</si>
  <si>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</si>
  <si>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</si>
  <si>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</si>
  <si>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</si>
  <si>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</si>
  <si>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</si>
  <si>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</si>
  <si>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</si>
  <si>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</si>
  <si>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</si>
  <si>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</si>
  <si>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</si>
  <si>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</si>
  <si>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</si>
  <si>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</si>
  <si>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</si>
  <si>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</si>
  <si>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</si>
  <si>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</si>
  <si>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</si>
  <si>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</si>
  <si>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</si>
  <si>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</si>
  <si>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</si>
  <si>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</si>
  <si>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</si>
  <si>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</si>
  <si>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</si>
  <si>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</si>
  <si>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</si>
  <si>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</si>
  <si>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</si>
  <si>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</si>
  <si>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</si>
  <si>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</si>
  <si>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</si>
  <si>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</si>
  <si>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</si>
  <si>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</si>
  <si>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</si>
  <si>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</si>
  <si>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</si>
  <si>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</si>
  <si>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</si>
  <si>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</si>
  <si>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</si>
  <si>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</si>
  <si>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</si>
  <si>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</si>
  <si>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</si>
  <si>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</si>
  <si>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</si>
  <si>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</si>
  <si>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</si>
  <si>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</si>
  <si>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</si>
  <si>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</si>
  <si>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</si>
  <si>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</si>
  <si>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</si>
  <si>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</si>
  <si>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</si>
  <si>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</si>
  <si>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</si>
  <si>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</si>
  <si>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</si>
  <si>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</si>
  <si>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</si>
  <si>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</si>
  <si>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</si>
  <si>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</si>
  <si>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</si>
  <si>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</si>
  <si>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</si>
  <si>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</si>
  <si>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</si>
  <si>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</si>
  <si>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</si>
  <si>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</si>
  <si>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</si>
  <si>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</si>
  <si>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</si>
  <si>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</si>
  <si>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</si>
  <si>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</si>
  <si>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</si>
  <si>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</si>
  <si>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</si>
  <si>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</si>
  <si>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</si>
  <si>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</si>
  <si>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</si>
  <si>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</si>
  <si>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</si>
  <si>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</si>
  <si>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</si>
  <si>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</si>
  <si>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</si>
  <si>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</si>
  <si>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</si>
  <si>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</si>
  <si>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</si>
  <si>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</si>
  <si>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</si>
  <si>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</si>
  <si>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</si>
  <si>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</si>
  <si>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</si>
  <si>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</si>
  <si>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</si>
  <si>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</si>
  <si>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</si>
  <si>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</si>
  <si>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</si>
  <si>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</si>
  <si>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</si>
  <si>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</si>
  <si>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</si>
  <si>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</si>
  <si>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</si>
  <si>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</si>
  <si>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</si>
  <si>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</si>
  <si>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</si>
  <si>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</si>
  <si>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</si>
  <si>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</si>
  <si>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</si>
  <si>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</si>
  <si>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</si>
  <si>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</si>
  <si>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</si>
  <si>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</si>
  <si>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</si>
  <si>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</si>
  <si>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</si>
  <si>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</si>
  <si>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</si>
  <si>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</si>
  <si>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</si>
  <si>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</si>
  <si>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</si>
  <si>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</si>
  <si>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</si>
  <si>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</si>
  <si>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</si>
  <si>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</si>
  <si>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</si>
  <si>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</si>
  <si>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</si>
  <si>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</si>
  <si>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</si>
  <si>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</si>
  <si>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</si>
  <si>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</si>
  <si>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</si>
  <si>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</si>
  <si>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</si>
  <si>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</si>
  <si>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</si>
  <si>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</si>
  <si>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</si>
  <si>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</si>
  <si>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</si>
  <si>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</si>
  <si>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</si>
  <si>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</si>
  <si>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</si>
  <si>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</si>
  <si>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</si>
  <si>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</si>
  <si>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</si>
  <si>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</si>
  <si>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</si>
  <si>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</si>
  <si>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</si>
  <si>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</si>
  <si>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</si>
  <si>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</si>
  <si>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</si>
  <si>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</si>
  <si>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</si>
  <si>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</si>
  <si>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</si>
  <si>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</si>
  <si>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</si>
  <si>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</si>
  <si>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</si>
  <si>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</si>
  <si>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</si>
  <si>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</si>
  <si>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</si>
  <si>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</si>
  <si>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</si>
  <si>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</si>
  <si>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</si>
  <si>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</si>
  <si>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</si>
  <si>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</si>
  <si>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</si>
  <si>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</si>
  <si>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</si>
  <si>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</si>
  <si>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</si>
  <si>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</si>
  <si>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</si>
  <si>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</si>
  <si>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</si>
  <si>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</si>
  <si>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</si>
  <si>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</si>
  <si>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</si>
  <si>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</si>
  <si>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</si>
  <si>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</si>
  <si>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</si>
  <si>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</si>
  <si>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</si>
  <si>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</si>
  <si>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</si>
  <si>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</si>
  <si>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</si>
  <si>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</si>
  <si>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</si>
  <si>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</si>
  <si>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</si>
  <si>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</si>
  <si>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</si>
  <si>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</si>
  <si>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</si>
  <si>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</si>
  <si>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</si>
  <si>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</si>
  <si>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</si>
  <si>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</si>
  <si>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</si>
  <si>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</si>
  <si>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</si>
  <si>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</si>
  <si>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</si>
  <si>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</si>
  <si>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</si>
  <si>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</si>
  <si>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</si>
  <si>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</si>
  <si>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</si>
  <si>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</si>
  <si>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</si>
  <si>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</si>
  <si>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</si>
  <si>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</si>
  <si>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</si>
  <si>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</si>
  <si>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</si>
  <si>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</si>
  <si>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</si>
  <si>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</si>
  <si>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</si>
  <si>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</si>
  <si>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</si>
  <si>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</si>
  <si>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</si>
  <si>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</si>
  <si>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</si>
  <si>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</si>
  <si>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</si>
  <si>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</si>
  <si>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</si>
  <si>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</si>
  <si>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</si>
  <si>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</si>
  <si>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</si>
  <si>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</si>
  <si>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</si>
  <si>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</si>
  <si>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</si>
  <si>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</si>
  <si>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</si>
  <si>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</si>
  <si>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</si>
  <si>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</si>
  <si>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</si>
  <si>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</si>
  <si>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</si>
  <si>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</si>
  <si>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</si>
  <si>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</si>
  <si>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</si>
  <si>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</si>
  <si>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</si>
  <si>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</si>
  <si>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</si>
  <si>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</si>
  <si>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</si>
  <si>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</si>
  <si>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</si>
  <si>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</si>
  <si>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</si>
  <si>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</si>
  <si>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</si>
  <si>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</si>
  <si>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</si>
  <si>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</si>
  <si>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</si>
  <si>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</si>
  <si>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</si>
  <si>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</si>
  <si>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</si>
  <si>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</si>
  <si>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</si>
  <si>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</si>
  <si>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</si>
  <si>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</si>
  <si>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</si>
  <si>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</si>
  <si>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</si>
  <si>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</si>
  <si>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</si>
  <si>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</si>
  <si>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</si>
  <si>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</si>
  <si>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</si>
  <si>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</si>
  <si>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</si>
  <si>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</si>
  <si>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</si>
  <si>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</si>
  <si>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</si>
  <si>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</si>
  <si>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</si>
  <si>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</si>
  <si>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</si>
  <si>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</si>
  <si>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</si>
  <si>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</si>
  <si>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</si>
  <si>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</si>
  <si>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</si>
  <si>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</si>
  <si>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</si>
  <si>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</si>
  <si>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</si>
  <si>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</si>
  <si>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</si>
  <si>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</si>
  <si>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</si>
  <si>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</si>
  <si>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</si>
  <si>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</si>
  <si>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</si>
  <si>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</si>
  <si>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</si>
  <si>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</si>
  <si>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</si>
  <si>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</si>
  <si>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</si>
  <si>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</si>
  <si>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</si>
  <si>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</si>
  <si>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</si>
  <si>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</si>
  <si>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</si>
  <si>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</si>
  <si>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</si>
  <si>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</si>
  <si>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</si>
  <si>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</si>
  <si>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</si>
  <si>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</si>
  <si>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</si>
  <si>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</si>
  <si>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</si>
  <si>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</si>
  <si>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</si>
  <si>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</si>
  <si>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</si>
  <si>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</si>
  <si>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</si>
  <si>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</si>
  <si>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</si>
  <si>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</si>
  <si>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</si>
  <si>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</si>
  <si>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</si>
  <si>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</si>
  <si>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</si>
  <si>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</si>
  <si>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</si>
  <si>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</si>
  <si>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</si>
  <si>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</si>
  <si>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</si>
  <si>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</si>
  <si>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</si>
  <si>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</si>
  <si>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</si>
  <si>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</si>
  <si>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</si>
  <si>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</si>
  <si>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</si>
  <si>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</si>
  <si>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</si>
  <si>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</si>
  <si>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</si>
  <si>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</si>
  <si>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</si>
  <si>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</si>
  <si>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</si>
  <si>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</si>
  <si>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</si>
  <si>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</si>
  <si>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</si>
  <si>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</si>
  <si>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</si>
  <si>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</si>
  <si>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</si>
  <si>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</si>
  <si>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</si>
  <si>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</si>
  <si>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</si>
  <si>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</si>
  <si>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</si>
  <si>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</si>
  <si>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</si>
  <si>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</si>
  <si>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</si>
  <si>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</si>
  <si>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</si>
  <si>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</si>
  <si>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</si>
  <si>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</si>
  <si>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</si>
  <si>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</si>
  <si>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</si>
  <si>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</si>
  <si>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</si>
  <si>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</si>
  <si>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</si>
  <si>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</si>
  <si>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</si>
  <si>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</si>
  <si>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</si>
  <si>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</si>
  <si>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</si>
  <si>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</si>
  <si>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</si>
  <si>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</si>
  <si>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</si>
  <si>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</si>
  <si>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</si>
  <si>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</si>
  <si>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</si>
  <si>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</si>
  <si>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</si>
  <si>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</si>
  <si>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</si>
  <si>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</si>
  <si>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</si>
  <si>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</si>
  <si>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</si>
  <si>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</si>
  <si>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</si>
  <si>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</si>
  <si>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</si>
  <si>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</si>
  <si>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</si>
  <si>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</si>
  <si>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</si>
  <si>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</si>
  <si>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</si>
  <si>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</si>
  <si>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</si>
  <si>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</si>
  <si>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</si>
  <si>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</si>
  <si>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</si>
  <si>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</si>
  <si>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</si>
  <si>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</si>
  <si>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</si>
  <si>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</si>
  <si>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</si>
  <si>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</si>
  <si>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</si>
  <si>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</si>
  <si>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</si>
  <si>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</si>
  <si>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</si>
  <si>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</si>
  <si>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</si>
  <si>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</si>
  <si>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</si>
  <si>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</si>
  <si>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</si>
  <si>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</si>
  <si>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</si>
  <si>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</si>
  <si>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</si>
  <si>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</si>
  <si>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</si>
  <si>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</si>
  <si>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</si>
  <si>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</si>
  <si>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</si>
  <si>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</si>
  <si>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</si>
  <si>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</si>
  <si>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</si>
  <si>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</si>
  <si>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</si>
  <si>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</si>
  <si>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</si>
  <si>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</si>
  <si>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</si>
  <si>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</si>
  <si>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</si>
  <si>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</si>
  <si>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</si>
  <si>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</si>
  <si>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</si>
  <si>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</si>
  <si>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</si>
  <si>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</si>
  <si>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</si>
  <si>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</si>
  <si>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</si>
  <si>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</si>
  <si>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</si>
  <si>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</si>
  <si>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</si>
  <si>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</si>
  <si>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</si>
  <si>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</si>
  <si>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</si>
  <si>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</si>
  <si>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</si>
  <si>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</si>
  <si>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</si>
  <si>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</si>
  <si>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</si>
  <si>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</si>
  <si>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</si>
  <si>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</si>
  <si>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</si>
  <si>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</si>
  <si>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</si>
  <si>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</si>
  <si>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</si>
  <si>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</si>
  <si>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</si>
  <si>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</si>
  <si>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</si>
  <si>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</si>
  <si>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</si>
  <si>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</si>
  <si>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</si>
  <si>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</si>
  <si>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</si>
  <si>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</si>
  <si>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</si>
  <si>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</si>
  <si>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</si>
  <si>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</si>
  <si>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</si>
  <si>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</si>
  <si>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</si>
  <si>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</si>
  <si>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</si>
  <si>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</si>
  <si>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</si>
  <si>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</si>
  <si>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</si>
  <si>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</si>
  <si>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</si>
  <si>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</si>
  <si>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</si>
  <si>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</si>
  <si>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</si>
  <si>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</si>
  <si>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</si>
  <si>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</si>
  <si>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</si>
  <si>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</si>
  <si>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</si>
  <si>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</si>
  <si>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</si>
  <si>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</si>
  <si>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</si>
  <si>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</si>
  <si>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</si>
  <si>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</si>
  <si>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</si>
  <si>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</si>
  <si>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</si>
  <si>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</si>
  <si>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</si>
  <si>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</si>
  <si>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</si>
  <si>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</si>
  <si>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</si>
  <si>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</si>
  <si>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</si>
  <si>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</si>
  <si>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</si>
  <si>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</si>
  <si>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</si>
  <si>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</si>
  <si>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</si>
  <si>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</si>
  <si>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</si>
  <si>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</si>
  <si>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</si>
  <si>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</si>
  <si>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</si>
  <si>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</si>
  <si>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</si>
  <si>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</si>
  <si>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</si>
  <si>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</si>
  <si>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</si>
  <si>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</si>
  <si>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</si>
  <si>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</si>
  <si>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</si>
  <si>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</si>
  <si>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</si>
  <si>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</si>
  <si>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</si>
  <si>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</si>
  <si>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</si>
  <si>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</si>
  <si>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</si>
  <si>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</si>
  <si>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</si>
  <si>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</si>
  <si>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</si>
  <si>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</si>
  <si>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</si>
  <si>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</si>
  <si>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</si>
  <si>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</si>
  <si>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</si>
  <si>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</si>
  <si>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</si>
  <si>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</si>
  <si>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</si>
  <si>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</si>
  <si>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</si>
  <si>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</si>
  <si>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</si>
  <si>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</si>
  <si>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</si>
  <si>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</si>
  <si>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</si>
  <si>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</si>
  <si>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</si>
  <si>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</si>
  <si>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</si>
  <si>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</si>
  <si>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</si>
  <si>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</si>
  <si>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</si>
  <si>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</si>
  <si>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</si>
  <si>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</si>
  <si>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</si>
  <si>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</si>
  <si>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</si>
  <si>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</si>
  <si>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</si>
  <si>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</si>
  <si>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</si>
  <si>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</si>
  <si>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</si>
  <si>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</si>
  <si>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</si>
  <si>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</si>
  <si>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</si>
  <si>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</si>
  <si>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</si>
  <si>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</si>
  <si>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</si>
  <si>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</si>
  <si>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</si>
  <si>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</si>
  <si>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</si>
  <si>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</si>
  <si>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</si>
  <si>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</si>
  <si>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</si>
  <si>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</si>
  <si>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</si>
  <si>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</si>
  <si>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</si>
  <si>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</si>
  <si>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</si>
  <si>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</si>
  <si>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</si>
  <si>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</si>
  <si>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</si>
  <si>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</si>
  <si>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</si>
  <si>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</si>
  <si>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</si>
  <si>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</si>
  <si>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</si>
  <si>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</si>
  <si>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</si>
  <si>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</si>
  <si>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</si>
  <si>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</si>
  <si>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</si>
  <si>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</si>
  <si>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</si>
  <si>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</si>
  <si>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</si>
  <si>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</si>
  <si>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</si>
  <si>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</si>
  <si>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</si>
  <si>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</si>
  <si>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</si>
  <si>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</si>
  <si>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</si>
  <si>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</si>
  <si>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</si>
  <si>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</si>
  <si>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</si>
  <si>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</si>
  <si>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</si>
  <si>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</si>
  <si>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</si>
  <si>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</si>
  <si>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</si>
  <si>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</si>
  <si>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</si>
  <si>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</si>
  <si>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</si>
  <si>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</si>
  <si>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</si>
  <si>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</si>
  <si>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</si>
  <si>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</si>
  <si>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</si>
  <si>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</si>
  <si>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</si>
  <si>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</si>
  <si>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</si>
  <si>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</si>
  <si>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</si>
  <si>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</si>
  <si>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</si>
  <si>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</si>
  <si>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</si>
  <si>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</si>
  <si>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</si>
  <si>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</si>
  <si>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</si>
  <si>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</si>
  <si>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</si>
  <si>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</si>
  <si>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</si>
  <si>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</si>
  <si>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</si>
  <si>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</si>
  <si>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</si>
  <si>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</si>
  <si>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</si>
  <si>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</si>
  <si>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</si>
  <si>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</si>
  <si>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</si>
  <si>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</si>
  <si>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</si>
  <si>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</si>
  <si>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</si>
  <si>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</si>
  <si>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</si>
  <si>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</si>
  <si>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</si>
  <si>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</si>
  <si>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</si>
  <si>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</si>
  <si>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</si>
  <si>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</si>
  <si>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</si>
  <si>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</si>
  <si>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</si>
  <si>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</si>
  <si>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</si>
  <si>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</si>
  <si>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</si>
  <si>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</si>
  <si>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</si>
  <si>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</si>
  <si>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</si>
  <si>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</si>
  <si>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</si>
  <si>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</si>
  <si>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</si>
  <si>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</si>
  <si>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</si>
  <si>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</si>
  <si>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</si>
  <si>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</si>
  <si>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</si>
  <si>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</si>
  <si>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</si>
  <si>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</si>
  <si>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</si>
  <si>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</si>
  <si>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</si>
  <si>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</si>
  <si>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</si>
  <si>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</si>
  <si>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</si>
  <si>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</si>
  <si>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</si>
  <si>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</si>
  <si>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</si>
  <si>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</si>
  <si>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</si>
  <si>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</si>
  <si>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</si>
  <si>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</si>
  <si>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</si>
  <si>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</si>
  <si>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</si>
  <si>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</si>
  <si>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</si>
  <si>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</si>
  <si>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</si>
  <si>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</si>
  <si>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</si>
  <si>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</si>
  <si>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</si>
  <si>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</si>
  <si>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</si>
  <si>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</si>
  <si>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</si>
  <si>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</si>
  <si>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</si>
  <si>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</si>
  <si>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</si>
  <si>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</si>
  <si>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</si>
  <si>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</si>
  <si>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</si>
  <si>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</si>
  <si>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</si>
  <si>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</si>
  <si>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</si>
  <si>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</si>
  <si>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</si>
  <si>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</si>
  <si>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</si>
  <si>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</si>
  <si>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</si>
  <si>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</si>
  <si>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</si>
  <si>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</si>
  <si>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</si>
  <si>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</si>
  <si>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</si>
  <si>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</si>
  <si>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</si>
  <si>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</si>
  <si>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</si>
  <si>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</si>
  <si>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</si>
  <si>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</si>
  <si>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</si>
  <si>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</si>
  <si>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</si>
  <si>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</si>
  <si>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</si>
  <si>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</si>
  <si>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</si>
  <si>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</si>
  <si>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</si>
  <si>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</si>
  <si>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</si>
  <si>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</si>
  <si>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</si>
  <si>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</si>
  <si>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</si>
  <si>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</si>
  <si>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</si>
  <si>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</si>
  <si>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</si>
  <si>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</si>
  <si>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</si>
  <si>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</si>
  <si>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</si>
  <si>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</si>
  <si>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</si>
  <si>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</si>
  <si>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</si>
  <si>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</si>
  <si>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</si>
  <si>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</si>
  <si>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</si>
  <si>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</si>
  <si>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</si>
  <si>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</si>
  <si>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</si>
  <si>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</si>
  <si>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</si>
  <si>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</si>
  <si>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</si>
  <si>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</si>
  <si>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</si>
  <si>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</si>
  <si>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</si>
  <si>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</si>
  <si>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</si>
  <si>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</si>
  <si>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</si>
  <si>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</si>
  <si>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</si>
  <si>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</si>
  <si>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</si>
  <si>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</si>
  <si>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</si>
  <si>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</si>
  <si>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</si>
  <si>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</si>
  <si>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</si>
  <si>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</si>
  <si>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</si>
  <si>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</si>
  <si>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</si>
  <si>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</si>
  <si>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</si>
  <si>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</si>
  <si>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</si>
  <si>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</si>
  <si>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</si>
  <si>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</si>
  <si>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</si>
  <si>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</si>
  <si>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</si>
  <si>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</si>
  <si>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</si>
  <si>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</si>
  <si>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</si>
  <si>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</si>
  <si>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</si>
  <si>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</si>
  <si>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</si>
  <si>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</si>
  <si>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</si>
  <si>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</si>
  <si>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</si>
  <si>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</si>
  <si>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</si>
  <si>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</si>
  <si>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</si>
  <si>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</si>
  <si>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</si>
  <si>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</si>
  <si>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</si>
  <si>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</si>
  <si>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</si>
  <si>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</si>
  <si>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</si>
  <si>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</si>
  <si>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</si>
  <si>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</si>
  <si>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</si>
  <si>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</si>
  <si>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</si>
  <si>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</si>
  <si>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</si>
  <si>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</si>
  <si>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</si>
  <si>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</si>
  <si>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</si>
  <si>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</si>
  <si>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</si>
  <si>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</si>
  <si>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</si>
  <si>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</si>
  <si>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</si>
  <si>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</si>
  <si>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</si>
  <si>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</si>
  <si>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</si>
  <si>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</si>
  <si>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</si>
  <si>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</si>
  <si>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</si>
  <si>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</si>
  <si>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</si>
  <si>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</si>
  <si>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</si>
  <si>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</si>
  <si>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</si>
  <si>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</si>
  <si>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</si>
  <si>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</si>
  <si>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</si>
  <si>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</si>
  <si>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</si>
  <si>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</si>
  <si>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</si>
  <si>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</si>
  <si>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</si>
  <si>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</si>
  <si>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</si>
  <si>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</si>
  <si>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</si>
  <si>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</si>
  <si>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</si>
  <si>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</si>
  <si>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</si>
  <si>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</si>
  <si>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</si>
  <si>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</si>
  <si>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</si>
  <si>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</si>
  <si>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</si>
  <si>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</si>
  <si>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</si>
  <si>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</si>
  <si>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</si>
  <si>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</si>
  <si>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</si>
  <si>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</si>
  <si>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</si>
  <si>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</si>
  <si>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</si>
  <si>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</si>
  <si>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</si>
  <si>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</si>
  <si>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</si>
  <si>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</si>
  <si>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</si>
  <si>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</si>
  <si>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</si>
  <si>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</si>
  <si>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</si>
  <si>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</si>
  <si>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</si>
  <si>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</si>
  <si>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</si>
  <si>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</si>
  <si>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</si>
  <si>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</si>
  <si>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</si>
  <si>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</si>
  <si>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</si>
  <si>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</si>
  <si>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</si>
  <si>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</si>
  <si>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</si>
  <si>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</si>
  <si>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</si>
  <si>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</si>
  <si>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</si>
  <si>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</si>
  <si>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</si>
  <si>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</si>
  <si>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</si>
  <si>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</si>
  <si>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</si>
  <si>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</si>
  <si>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</si>
  <si>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</si>
  <si>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</si>
  <si>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</si>
  <si>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</si>
  <si>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</si>
  <si>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</si>
  <si>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</si>
  <si>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</si>
  <si>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</si>
  <si>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</si>
  <si>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</si>
  <si>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</si>
  <si>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</si>
  <si>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</si>
  <si>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</si>
  <si>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</si>
  <si>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</si>
  <si>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</si>
  <si>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</si>
  <si>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</si>
  <si>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</si>
  <si>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</si>
  <si>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</si>
  <si>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</si>
  <si>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</si>
  <si>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</si>
  <si>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</si>
  <si>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</si>
  <si>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</si>
  <si>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</si>
  <si>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</si>
  <si>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</si>
  <si>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</si>
  <si>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</si>
  <si>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</si>
  <si>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</si>
  <si>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</si>
  <si>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</si>
  <si>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</si>
  <si>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</si>
  <si>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</si>
  <si>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</si>
  <si>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</si>
  <si>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</si>
  <si>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</si>
  <si>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</si>
  <si>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</si>
  <si>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</si>
  <si>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</si>
  <si>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</si>
  <si>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</si>
  <si>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</si>
  <si>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</si>
  <si>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</si>
  <si>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</si>
  <si>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</si>
  <si>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</si>
  <si>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</si>
  <si>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</si>
  <si>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</si>
  <si>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</si>
  <si>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</si>
  <si>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</si>
  <si>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</si>
  <si>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</si>
  <si>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</si>
  <si>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</si>
  <si>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</si>
  <si>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</si>
  <si>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</si>
  <si>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</si>
  <si>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</si>
  <si>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</si>
  <si>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</si>
  <si>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</si>
  <si>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</si>
  <si>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</si>
  <si>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</si>
  <si>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</si>
  <si>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</si>
  <si>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</si>
  <si>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</si>
  <si>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</si>
  <si>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</si>
  <si>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</si>
  <si>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</si>
  <si>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</si>
  <si>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</si>
  <si>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</si>
  <si>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</si>
  <si>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</si>
  <si>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</si>
  <si>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</si>
  <si>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</si>
  <si>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</si>
  <si>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</si>
  <si>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</si>
  <si>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</si>
  <si>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</si>
  <si>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</si>
  <si>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</si>
  <si>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</si>
  <si>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</si>
  <si>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</si>
  <si>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</si>
  <si>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</si>
  <si>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</si>
  <si>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</si>
  <si>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</si>
  <si>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</si>
  <si>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</si>
  <si>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</si>
  <si>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</si>
  <si>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</si>
  <si>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</si>
  <si>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</si>
  <si>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</si>
  <si>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</si>
  <si>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</si>
  <si>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</si>
  <si>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</si>
  <si>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</si>
  <si>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</si>
  <si>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</si>
  <si>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</si>
  <si>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</si>
  <si>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</si>
  <si>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</si>
  <si>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</si>
  <si>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</si>
  <si>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</si>
  <si>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</si>
  <si>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</si>
  <si>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</si>
  <si>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</si>
  <si>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</si>
  <si>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</si>
  <si>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</si>
  <si>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</si>
  <si>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</si>
  <si>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</si>
  <si>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</si>
  <si>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</si>
  <si>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</si>
  <si>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</si>
  <si>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</si>
  <si>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</si>
  <si>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</si>
  <si>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</si>
  <si>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</si>
  <si>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</si>
  <si>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</si>
  <si>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</si>
  <si>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</si>
  <si>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</si>
  <si>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</si>
  <si>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</si>
  <si>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</si>
  <si>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</si>
  <si>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</si>
  <si>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</si>
  <si>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</si>
  <si>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</si>
  <si>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</si>
  <si>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</si>
  <si>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</si>
  <si>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</si>
  <si>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</si>
  <si>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</si>
  <si>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</si>
  <si>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</si>
  <si>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</si>
  <si>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</si>
  <si>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</si>
  <si>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</si>
  <si>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</si>
  <si>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</si>
  <si>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</si>
  <si>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</si>
  <si>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</si>
  <si>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</si>
  <si>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</si>
  <si>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</si>
  <si>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</si>
  <si>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</si>
  <si>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</si>
  <si>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</si>
  <si>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</si>
  <si>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</si>
  <si>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</si>
  <si>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</si>
  <si>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</si>
  <si>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</si>
  <si>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</si>
  <si>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</si>
  <si>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</si>
  <si>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</si>
  <si>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</si>
  <si>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</si>
  <si>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</si>
  <si>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</si>
  <si>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</si>
  <si>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</si>
  <si>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</si>
  <si>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</si>
  <si>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</si>
  <si>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</si>
  <si>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</si>
  <si>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</si>
  <si>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</si>
  <si>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</si>
  <si>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</si>
  <si>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</si>
  <si>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</si>
  <si>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</si>
  <si>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</si>
  <si>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</si>
  <si>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</si>
  <si>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</si>
  <si>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</si>
  <si>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</si>
  <si>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</si>
  <si>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</si>
  <si>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</si>
  <si>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</si>
  <si>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</si>
  <si>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</si>
  <si>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</si>
  <si>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</si>
  <si>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</si>
  <si>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</si>
  <si>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</si>
  <si>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</si>
  <si>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</si>
  <si>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</si>
  <si>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</si>
  <si>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</si>
  <si>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</si>
  <si>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</si>
  <si>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</si>
  <si>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</si>
  <si>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</si>
  <si>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</si>
  <si>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</si>
  <si>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</si>
  <si>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</si>
  <si>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</si>
  <si>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</si>
  <si>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</si>
  <si>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</si>
  <si>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</si>
  <si>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</si>
  <si>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</si>
  <si>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</si>
  <si>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</si>
  <si>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</si>
  <si>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</si>
  <si>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</si>
  <si>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</si>
  <si>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</si>
  <si>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</si>
  <si>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</si>
  <si>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</si>
  <si>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</si>
  <si>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</si>
  <si>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</si>
  <si>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</si>
  <si>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</si>
  <si>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</si>
  <si>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</si>
  <si>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</si>
  <si>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</si>
  <si>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</si>
  <si>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</si>
  <si>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</si>
  <si>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</si>
  <si>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</si>
  <si>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</si>
  <si>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</si>
  <si>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</si>
  <si>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</si>
  <si>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</si>
  <si>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</si>
  <si>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</si>
  <si>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</si>
  <si>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</si>
  <si>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</si>
  <si>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</si>
  <si>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</si>
  <si>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</si>
  <si>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</si>
  <si>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</si>
  <si>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</si>
  <si>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</si>
  <si>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</si>
  <si>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</si>
  <si>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</si>
  <si>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</si>
  <si>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</si>
  <si>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</si>
  <si>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</si>
  <si>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</si>
  <si>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</si>
  <si>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</si>
  <si>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</si>
  <si>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</si>
  <si>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</si>
  <si>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</si>
  <si>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</si>
  <si>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</si>
  <si>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</si>
  <si>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</si>
  <si>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</si>
  <si>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</si>
  <si>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</si>
  <si>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</si>
  <si>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</si>
  <si>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</si>
  <si>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</si>
  <si>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</si>
  <si>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</si>
  <si>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</si>
  <si>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</si>
  <si>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</si>
  <si>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</si>
  <si>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</si>
  <si>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</si>
  <si>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</si>
  <si>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</si>
  <si>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</si>
  <si>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</si>
  <si>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</si>
  <si>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</si>
  <si>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</si>
  <si>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</si>
  <si>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</si>
  <si>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</si>
  <si>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</si>
  <si>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</si>
  <si>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</si>
  <si>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</si>
  <si>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</si>
  <si>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</si>
  <si>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</si>
  <si>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</si>
  <si>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</si>
  <si>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</si>
  <si>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</si>
  <si>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</si>
  <si>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</si>
  <si>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</si>
  <si>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</si>
  <si>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</si>
  <si>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</si>
  <si>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</si>
  <si>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</si>
  <si>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</si>
  <si>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</si>
  <si>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</si>
  <si>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</si>
  <si>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</si>
  <si>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</si>
  <si>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</si>
  <si>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</si>
  <si>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</si>
  <si>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</si>
  <si>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</si>
  <si>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</si>
  <si>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</si>
  <si>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</si>
  <si>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</si>
  <si>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</si>
  <si>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</si>
  <si>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</si>
  <si>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</si>
  <si>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</si>
  <si>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</si>
  <si>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</si>
  <si>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</si>
  <si>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</si>
  <si>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</si>
  <si>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</si>
  <si>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</si>
  <si>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</si>
  <si>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</si>
  <si>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</si>
  <si>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</si>
  <si>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</si>
  <si>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</si>
  <si>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</si>
  <si>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</si>
  <si>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</si>
  <si>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</si>
  <si>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</si>
  <si>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</si>
  <si>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</si>
  <si>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</si>
  <si>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</si>
  <si>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</si>
  <si>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</si>
  <si>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</si>
  <si>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</si>
  <si>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</si>
  <si>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</si>
  <si>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</si>
  <si>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</si>
  <si>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</si>
  <si>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</si>
  <si>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</si>
  <si>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</si>
  <si>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</si>
  <si>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</si>
  <si>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</si>
  <si>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</si>
  <si>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</si>
  <si>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</si>
  <si>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</si>
  <si>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</si>
  <si>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</si>
  <si>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</si>
  <si>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</si>
  <si>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</si>
  <si>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</si>
  <si>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</si>
  <si>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</si>
  <si>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</si>
  <si>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</si>
  <si>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</si>
  <si>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</si>
  <si>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</si>
  <si>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</si>
  <si>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</si>
  <si>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</si>
  <si>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</si>
  <si>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</si>
  <si>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</si>
  <si>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</si>
  <si>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</si>
  <si>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</si>
  <si>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</si>
  <si>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</si>
  <si>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</si>
  <si>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</si>
  <si>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</si>
  <si>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</si>
  <si>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</si>
  <si>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</si>
  <si>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</si>
  <si>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</si>
  <si>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</si>
  <si>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</si>
  <si>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</si>
  <si>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</si>
  <si>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</si>
  <si>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</si>
  <si>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</si>
  <si>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</si>
  <si>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</si>
  <si>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</si>
  <si>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</si>
  <si>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</si>
  <si>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</si>
  <si>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</si>
  <si>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</si>
  <si>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</si>
  <si>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</si>
  <si>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</si>
  <si>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</si>
  <si>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</si>
  <si>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</si>
  <si>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</si>
  <si>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</si>
  <si>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</si>
  <si>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</si>
  <si>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</si>
  <si>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</si>
  <si>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</si>
  <si>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</si>
  <si>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</si>
  <si>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</si>
  <si>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</si>
  <si>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</si>
  <si>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</si>
  <si>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</si>
  <si>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</si>
  <si>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</si>
  <si>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</si>
  <si>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</si>
  <si>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</si>
  <si>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</si>
  <si>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</si>
  <si>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</si>
  <si>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</si>
  <si>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</si>
  <si>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</si>
  <si>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</si>
  <si>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</si>
  <si>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</si>
  <si>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</si>
  <si>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</si>
  <si>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</si>
  <si>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</si>
  <si>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</si>
  <si>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</si>
  <si>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</si>
  <si>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</si>
  <si>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</si>
  <si>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</si>
  <si>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</si>
  <si>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</si>
  <si>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</si>
  <si>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</si>
  <si>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</si>
  <si>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</si>
  <si>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</si>
  <si>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</si>
  <si>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</si>
  <si>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</si>
  <si>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</si>
  <si>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</si>
  <si>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</si>
  <si>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</si>
  <si>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</si>
  <si>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</si>
  <si>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</si>
  <si>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</si>
  <si>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</si>
  <si>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</si>
  <si>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</si>
  <si>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</si>
  <si>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</si>
  <si>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</si>
  <si>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</si>
  <si>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</si>
  <si>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</si>
  <si>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</si>
  <si>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</si>
  <si>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</si>
  <si>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</si>
  <si>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</si>
  <si>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</si>
  <si>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</si>
  <si>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</si>
  <si>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</si>
  <si>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</si>
  <si>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</si>
  <si>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</si>
  <si>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</si>
  <si>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</si>
  <si>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</si>
  <si>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</si>
  <si>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</si>
  <si>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</si>
  <si>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</si>
  <si>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</si>
  <si>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</si>
  <si>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</si>
  <si>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</si>
  <si>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</si>
  <si>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</si>
  <si>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</si>
  <si>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</si>
  <si>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</si>
  <si>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</si>
  <si>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</si>
  <si>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</si>
  <si>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</si>
  <si>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</si>
  <si>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</si>
  <si>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</si>
  <si>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</si>
  <si>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</si>
  <si>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</si>
  <si>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</si>
  <si>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</si>
  <si>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</si>
  <si>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</si>
  <si>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</si>
  <si>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</si>
  <si>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</si>
  <si>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</si>
  <si>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</si>
  <si>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</si>
  <si>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</si>
  <si>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</si>
  <si>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</si>
  <si>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</si>
  <si>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</si>
  <si>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</si>
  <si>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</si>
  <si>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</si>
  <si>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</si>
  <si>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</si>
  <si>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</si>
  <si>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</si>
  <si>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</si>
  <si>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</si>
  <si>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</si>
  <si>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</si>
  <si>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</si>
  <si>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</si>
  <si>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</si>
  <si>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</si>
  <si>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</si>
  <si>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</si>
  <si>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</si>
  <si>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</si>
  <si>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</si>
  <si>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</si>
  <si>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</si>
  <si>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</si>
  <si>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</si>
  <si>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</si>
  <si>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</si>
  <si>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</si>
  <si>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</si>
  <si>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</si>
  <si>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</si>
  <si>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</si>
  <si>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</si>
  <si>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</si>
  <si>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</si>
  <si>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</si>
  <si>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</si>
  <si>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</si>
  <si>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</si>
  <si>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</si>
  <si>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</si>
  <si>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</si>
  <si>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</si>
  <si>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</si>
  <si>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</si>
  <si>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</si>
  <si>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</si>
  <si>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</si>
  <si>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</si>
  <si>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</si>
  <si>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</si>
  <si>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</si>
  <si>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</si>
  <si>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</si>
  <si>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</si>
  <si>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</si>
  <si>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</si>
  <si>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</si>
  <si>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</si>
  <si>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</si>
  <si>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</si>
  <si>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</si>
  <si>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</si>
  <si>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</si>
  <si>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</si>
  <si>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</si>
  <si>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</si>
  <si>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</si>
  <si>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</si>
  <si>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</si>
  <si>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</si>
  <si>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</si>
  <si>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</si>
  <si>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</si>
  <si>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</si>
  <si>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</si>
  <si>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</si>
  <si>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</si>
  <si>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</si>
  <si>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</si>
  <si>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</si>
  <si>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</si>
  <si>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</si>
  <si>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</si>
  <si>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</si>
  <si>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</si>
  <si>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</si>
  <si>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</si>
  <si>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</si>
  <si>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</si>
  <si>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</si>
  <si>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</si>
  <si>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</si>
  <si>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</si>
  <si>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</si>
  <si>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</si>
  <si>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</si>
  <si>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</si>
  <si>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</si>
  <si>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</si>
  <si>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</si>
  <si>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</si>
  <si>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</si>
  <si>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</si>
  <si>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</si>
  <si>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</si>
  <si>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</si>
  <si>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</si>
  <si>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</si>
  <si>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</si>
  <si>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</si>
  <si>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</si>
  <si>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</si>
  <si>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</si>
  <si>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</si>
  <si>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</si>
  <si>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</si>
  <si>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</si>
  <si>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</si>
  <si>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</si>
  <si>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</si>
  <si>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</si>
  <si>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</si>
  <si>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</si>
  <si>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</si>
  <si>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</si>
  <si>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</si>
  <si>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</si>
  <si>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</si>
  <si>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</si>
  <si>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</si>
  <si>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</si>
  <si>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</si>
  <si>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</si>
  <si>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</si>
  <si>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</si>
  <si>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</si>
  <si>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</si>
  <si>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</si>
  <si>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</si>
  <si>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</si>
  <si>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</si>
  <si>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</si>
  <si>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</si>
  <si>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</si>
  <si>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</si>
  <si>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</si>
  <si>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</si>
  <si>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</si>
  <si>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</si>
  <si>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</si>
  <si>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</si>
  <si>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</si>
  <si>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</si>
  <si>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</si>
  <si>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</si>
  <si>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</si>
  <si>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</si>
  <si>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</si>
  <si>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</si>
  <si>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</si>
  <si>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</si>
  <si>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</si>
  <si>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</si>
  <si>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</si>
  <si>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</si>
  <si>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</si>
  <si>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</si>
  <si>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</si>
  <si>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</si>
  <si>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</si>
  <si>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</si>
  <si>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</si>
  <si>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</si>
  <si>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</si>
  <si>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</si>
  <si>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</si>
  <si>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</si>
  <si>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</si>
  <si>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</si>
  <si>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</si>
  <si>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</si>
  <si>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</si>
  <si>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</si>
  <si>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</si>
  <si>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</si>
  <si>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</si>
  <si>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</si>
  <si>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</si>
  <si>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</si>
  <si>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</si>
  <si>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</si>
  <si>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</si>
  <si>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</si>
  <si>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</si>
  <si>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</si>
  <si>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</si>
  <si>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</si>
  <si>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</si>
  <si>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</si>
  <si>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</si>
  <si>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</si>
  <si>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</si>
  <si>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</si>
  <si>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</si>
  <si>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</si>
  <si>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</si>
  <si>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</si>
  <si>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</si>
  <si>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</si>
  <si>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</si>
  <si>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</si>
  <si>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</si>
  <si>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</si>
  <si>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</si>
  <si>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</si>
  <si>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</si>
  <si>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</si>
  <si>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</si>
  <si>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</si>
  <si>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</si>
  <si>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</si>
  <si>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</si>
  <si>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</si>
  <si>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</si>
  <si>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</si>
  <si>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</si>
  <si>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</si>
  <si>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</si>
  <si>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</si>
  <si>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</si>
  <si>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</si>
  <si>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</si>
  <si>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</si>
  <si>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</si>
  <si>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</si>
  <si>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</si>
  <si>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</si>
  <si>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</si>
  <si>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</si>
  <si>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</si>
  <si>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</si>
  <si>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</si>
  <si>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</si>
  <si>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</si>
  <si>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</si>
  <si>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</si>
  <si>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</si>
  <si>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</si>
  <si>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</si>
  <si>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</si>
  <si>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</si>
  <si>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</si>
  <si>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</si>
  <si>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</si>
  <si>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</si>
  <si>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</si>
  <si>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</si>
  <si>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</si>
  <si>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</si>
  <si>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</si>
  <si>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</si>
  <si>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</si>
  <si>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</si>
  <si>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</si>
  <si>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</si>
  <si>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</si>
  <si>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</si>
  <si>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</si>
  <si>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</si>
  <si>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</si>
  <si>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</si>
  <si>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</si>
  <si>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</si>
  <si>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</si>
  <si>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</si>
  <si>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</si>
  <si>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</si>
  <si>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</si>
  <si>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</si>
  <si>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</si>
  <si>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</si>
  <si>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</si>
  <si>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</si>
  <si>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</si>
  <si>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</si>
  <si>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</si>
  <si>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</si>
  <si>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</si>
  <si>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</si>
  <si>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</si>
  <si>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</si>
  <si>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</si>
  <si>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</si>
  <si>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</si>
  <si>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</si>
  <si>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</si>
  <si>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</si>
  <si>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</si>
  <si>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</si>
  <si>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</si>
  <si>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</si>
  <si>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</si>
  <si>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</si>
  <si>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</si>
  <si>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</si>
  <si>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</si>
  <si>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</si>
  <si>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</si>
  <si>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</si>
  <si>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</si>
  <si>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</si>
  <si>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</si>
  <si>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</si>
  <si>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</si>
  <si>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</si>
  <si>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</si>
  <si>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</si>
  <si>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</si>
  <si>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</si>
  <si>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</si>
  <si>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</si>
  <si>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</si>
  <si>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</si>
  <si>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</si>
  <si>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</si>
  <si>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</si>
  <si>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</si>
  <si>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</si>
  <si>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</si>
  <si>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</si>
  <si>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</si>
  <si>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</si>
  <si>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</si>
  <si>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</si>
  <si>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</si>
  <si>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</si>
  <si>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</si>
  <si>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</si>
  <si>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</si>
  <si>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</si>
  <si>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</si>
  <si>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</si>
  <si>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</si>
  <si>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</si>
  <si>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</si>
  <si>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</si>
  <si>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</si>
  <si>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</si>
  <si>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</si>
  <si>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</si>
  <si>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</si>
  <si>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</si>
  <si>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</si>
  <si>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</si>
  <si>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</si>
  <si>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</si>
  <si>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</si>
  <si>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</si>
  <si>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</si>
  <si>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</si>
  <si>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</si>
  <si>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</si>
  <si>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</si>
  <si>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</si>
  <si>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</si>
  <si>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</si>
  <si>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</si>
  <si>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</si>
  <si>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</si>
  <si>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</si>
  <si>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</si>
  <si>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</si>
  <si>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</si>
  <si>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</si>
  <si>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</si>
  <si>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</si>
  <si>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</si>
  <si>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</si>
  <si>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</si>
  <si>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</si>
  <si>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</si>
  <si>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</si>
  <si>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</si>
  <si>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</si>
  <si>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</si>
  <si>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</si>
  <si>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</si>
  <si>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</si>
  <si>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</si>
  <si>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</si>
  <si>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</si>
  <si>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</si>
  <si>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</si>
  <si>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</si>
  <si>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</si>
  <si>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</si>
  <si>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</si>
  <si>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</si>
  <si>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</si>
  <si>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</si>
  <si>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</si>
  <si>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</si>
  <si>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</si>
  <si>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</si>
  <si>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</si>
  <si>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</si>
  <si>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</si>
  <si>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</si>
  <si>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</si>
  <si>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</si>
  <si>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</si>
  <si>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</si>
  <si>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</si>
  <si>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</si>
  <si>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</si>
  <si>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</si>
  <si>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</si>
  <si>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</si>
  <si>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</si>
  <si>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</si>
  <si>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</si>
  <si>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</si>
  <si>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</si>
  <si>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</si>
  <si>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</si>
  <si>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</si>
  <si>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</si>
  <si>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</si>
  <si>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</si>
  <si>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</si>
  <si>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</si>
  <si>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</si>
  <si>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</si>
  <si>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</si>
  <si>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</si>
  <si>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</si>
  <si>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</si>
  <si>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</si>
  <si>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</si>
  <si>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</si>
  <si>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</si>
  <si>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</si>
  <si>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</si>
  <si>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</si>
  <si>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</si>
  <si>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</si>
  <si>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</si>
  <si>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</si>
  <si>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</si>
  <si>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</si>
  <si>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</si>
  <si>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</si>
  <si>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</si>
  <si>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</si>
  <si>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</si>
  <si>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</si>
  <si>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</si>
  <si>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</si>
  <si>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</si>
  <si>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</si>
  <si>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</si>
  <si>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</si>
  <si>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</si>
  <si>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</si>
  <si>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</si>
  <si>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</si>
  <si>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</si>
  <si>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</si>
  <si>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</si>
  <si>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</si>
  <si>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</si>
  <si>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</si>
  <si>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</si>
  <si>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</si>
  <si>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</si>
  <si>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</si>
  <si>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</si>
  <si>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</si>
  <si>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</si>
  <si>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</si>
  <si>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</si>
  <si>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</si>
  <si>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</si>
  <si>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</si>
  <si>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</si>
  <si>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</si>
  <si>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</si>
  <si>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</si>
  <si>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</si>
  <si>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</si>
  <si>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</si>
  <si>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</si>
  <si>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</si>
  <si>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</si>
  <si>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</si>
  <si>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</si>
  <si>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</si>
  <si>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</si>
  <si>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</si>
  <si>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</si>
  <si>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</si>
  <si>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</si>
  <si>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</si>
  <si>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</si>
  <si>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</si>
  <si>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</si>
  <si>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</si>
  <si>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</si>
  <si>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</si>
  <si>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</si>
  <si>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</si>
  <si>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</si>
  <si>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</si>
  <si>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</si>
  <si>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</si>
  <si>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</si>
  <si>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</si>
  <si>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</si>
  <si>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</si>
  <si>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</si>
  <si>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</si>
  <si>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</si>
  <si>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</si>
  <si>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</si>
  <si>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</si>
  <si>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</si>
  <si>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</si>
  <si>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</si>
  <si>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</si>
  <si>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</si>
  <si>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</si>
  <si>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</si>
  <si>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</si>
  <si>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</si>
  <si>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</si>
  <si>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</si>
  <si>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</si>
  <si>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</si>
  <si>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</si>
  <si>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</si>
  <si>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</si>
  <si>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</si>
  <si>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</si>
  <si>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</si>
  <si>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</si>
  <si>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</si>
  <si>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</si>
  <si>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</si>
  <si>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</si>
  <si>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</si>
  <si>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</si>
  <si>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</si>
  <si>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</si>
  <si>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</si>
  <si>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</si>
  <si>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</si>
  <si>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</si>
  <si>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</si>
  <si>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</si>
  <si>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</si>
  <si>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</si>
  <si>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</si>
  <si>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</si>
  <si>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</si>
  <si>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</si>
  <si>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</si>
  <si>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</si>
  <si>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</si>
  <si>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</si>
  <si>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</si>
  <si>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</si>
  <si>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</si>
  <si>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</si>
  <si>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</si>
  <si>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</si>
  <si>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</si>
  <si>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</si>
  <si>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</si>
  <si>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</si>
  <si>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</si>
  <si>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</si>
  <si>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</si>
  <si>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</si>
  <si>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</si>
  <si>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</si>
  <si>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</si>
  <si>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</si>
  <si>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</si>
  <si>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</si>
  <si>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</si>
  <si>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</si>
  <si>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</si>
  <si>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</si>
  <si>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</si>
  <si>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</si>
  <si>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</si>
  <si>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</si>
  <si>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</si>
  <si>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</si>
  <si>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</si>
  <si>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</si>
  <si>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</si>
  <si>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</si>
  <si>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</si>
  <si>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</si>
  <si>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</si>
  <si>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</si>
  <si>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</si>
  <si>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</si>
  <si>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</si>
  <si>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</si>
  <si>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</si>
  <si>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</si>
  <si>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</si>
  <si>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</si>
  <si>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</si>
  <si>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</si>
  <si>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</si>
  <si>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</si>
  <si>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</si>
  <si>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</si>
  <si>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</si>
  <si>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</si>
  <si>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</si>
  <si>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</si>
  <si>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</si>
  <si>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</si>
  <si>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</si>
  <si>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</si>
  <si>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</si>
  <si>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</si>
  <si>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</si>
  <si>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</si>
  <si>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</si>
  <si>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</si>
  <si>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</si>
  <si>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</si>
  <si>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</si>
  <si>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</si>
  <si>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</si>
  <si>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</si>
  <si>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</si>
  <si>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</si>
  <si>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</si>
  <si>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</si>
  <si>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</si>
  <si>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</si>
  <si>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</si>
  <si>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</si>
  <si>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</si>
  <si>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</si>
  <si>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</si>
  <si>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</si>
  <si>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</si>
  <si>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</si>
  <si>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</si>
  <si>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</si>
  <si>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</si>
  <si>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</si>
  <si>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</si>
  <si>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</si>
  <si>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</si>
  <si>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</si>
  <si>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</si>
  <si>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</si>
  <si>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</si>
  <si>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</si>
  <si>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</si>
  <si>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</si>
  <si>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</si>
  <si>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</si>
  <si>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</si>
  <si>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</si>
  <si>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</si>
  <si>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</si>
  <si>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</si>
  <si>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</si>
  <si>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</si>
  <si>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</si>
  <si>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</si>
  <si>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</si>
  <si>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</si>
  <si>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</si>
  <si>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</si>
  <si>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</si>
  <si>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</si>
  <si>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</si>
  <si>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</si>
  <si>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</si>
  <si>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</si>
  <si>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</si>
  <si>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</si>
  <si>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</si>
  <si>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</si>
  <si>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</si>
  <si>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</si>
  <si>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</si>
  <si>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</si>
  <si>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</si>
  <si>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</si>
  <si>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</si>
  <si>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</si>
  <si>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</si>
  <si>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</si>
  <si>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</si>
  <si>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</si>
  <si>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</si>
  <si>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</si>
  <si>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</si>
  <si>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</si>
  <si>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</si>
  <si>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</si>
  <si>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</si>
  <si>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</si>
  <si>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</si>
  <si>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</si>
  <si>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</si>
  <si>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</si>
  <si>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</si>
  <si>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</si>
  <si>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</si>
  <si>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</si>
  <si>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</si>
  <si>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</si>
  <si>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</si>
  <si>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</si>
  <si>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</si>
  <si>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</si>
  <si>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</si>
  <si>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</si>
  <si>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</si>
  <si>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</si>
  <si>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</si>
  <si>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</si>
  <si>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</si>
  <si>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</si>
  <si>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</si>
  <si>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</si>
  <si>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</si>
  <si>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</si>
  <si>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</si>
  <si>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</si>
  <si>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</si>
  <si>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</si>
  <si>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</si>
  <si>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</si>
  <si>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</si>
  <si>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</si>
  <si>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</si>
  <si>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</si>
  <si>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</si>
  <si>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</si>
  <si>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</si>
  <si>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</si>
  <si>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</si>
  <si>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</si>
  <si>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</si>
  <si>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</si>
  <si>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</si>
  <si>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</si>
  <si>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</si>
  <si>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</si>
  <si>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</si>
  <si>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</si>
  <si>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</si>
  <si>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</si>
  <si>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</si>
  <si>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</si>
  <si>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</si>
  <si>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</si>
  <si>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</si>
  <si>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</si>
  <si>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</si>
  <si>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</si>
  <si>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</si>
  <si>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</si>
  <si>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</si>
  <si>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</si>
  <si>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</si>
  <si>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</si>
  <si>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</si>
  <si>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</si>
  <si>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</si>
  <si>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</si>
  <si>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</si>
  <si>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</si>
  <si>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</si>
  <si>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</si>
  <si>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</si>
  <si>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</si>
  <si>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</si>
  <si>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</si>
  <si>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</si>
  <si>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</si>
  <si>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</si>
  <si>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</si>
  <si>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</si>
  <si>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</si>
  <si>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</si>
  <si>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</si>
  <si>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</si>
  <si>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</si>
  <si>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</si>
  <si>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</si>
  <si>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</si>
  <si>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</si>
  <si>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</si>
  <si>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</si>
  <si>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</si>
  <si>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</si>
  <si>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</si>
  <si>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</si>
  <si>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</si>
  <si>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</si>
  <si>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</si>
  <si>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</si>
  <si>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</si>
  <si>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</si>
  <si>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</si>
  <si>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</si>
  <si>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</si>
  <si>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</si>
  <si>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</si>
  <si>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</si>
  <si>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</si>
  <si>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</si>
  <si>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</si>
  <si>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</si>
  <si>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</si>
  <si>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</si>
  <si>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</si>
  <si>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</si>
  <si>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</si>
  <si>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</si>
  <si>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</si>
  <si>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</si>
  <si>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</si>
  <si>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</si>
  <si>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</si>
  <si>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</si>
  <si>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</si>
  <si>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</si>
  <si>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</si>
  <si>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</si>
  <si>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</si>
  <si>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</si>
  <si>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</si>
  <si>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</si>
  <si>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</si>
  <si>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</si>
  <si>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</si>
  <si>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</si>
  <si>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</si>
  <si>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</si>
  <si>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</si>
  <si>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</si>
  <si>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</si>
  <si>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</si>
  <si>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</si>
  <si>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</si>
  <si>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</si>
  <si>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</si>
  <si>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</si>
  <si>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</si>
  <si>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</si>
  <si>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</si>
  <si>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</si>
  <si>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</si>
  <si>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</si>
  <si>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</si>
  <si>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</si>
  <si>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</si>
  <si>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</si>
  <si>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</si>
  <si>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</si>
  <si>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</si>
  <si>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</si>
  <si>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</si>
  <si>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</si>
  <si>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</si>
  <si>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</si>
  <si>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</si>
  <si>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</si>
  <si>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</si>
  <si>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</si>
  <si>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</si>
  <si>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</si>
  <si>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</si>
  <si>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</si>
  <si>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</si>
  <si>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</si>
  <si>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</si>
  <si>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</si>
  <si>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</si>
  <si>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</si>
  <si>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</si>
  <si>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</si>
  <si>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</si>
  <si>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</si>
  <si>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</si>
  <si>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</si>
  <si>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</si>
  <si>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</si>
  <si>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</si>
  <si>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</si>
  <si>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</si>
  <si>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</si>
  <si>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</si>
  <si>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</si>
  <si>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</si>
  <si>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</si>
  <si>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</si>
  <si>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</si>
  <si>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</si>
  <si>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</si>
  <si>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</si>
  <si>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</si>
  <si>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</si>
  <si>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</si>
  <si>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</si>
  <si>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</si>
  <si>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</si>
  <si>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</si>
  <si>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</si>
  <si>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</si>
  <si>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</si>
  <si>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</si>
  <si>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</si>
  <si>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</si>
  <si>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</si>
  <si>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</si>
  <si>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</si>
  <si>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</si>
  <si>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</si>
  <si>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</si>
  <si>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</si>
  <si>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</si>
  <si>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</si>
  <si>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</si>
  <si>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</si>
  <si>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</si>
  <si>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</si>
  <si>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</si>
  <si>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</si>
  <si>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</si>
  <si>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</si>
  <si>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</si>
  <si>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</si>
  <si>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</si>
  <si>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</si>
  <si>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</si>
  <si>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</si>
  <si>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</si>
  <si>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</si>
  <si>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</si>
  <si>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</si>
  <si>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</si>
  <si>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</si>
  <si>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</si>
  <si>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</si>
  <si>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</si>
  <si>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</si>
  <si>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</si>
  <si>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</si>
  <si>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</si>
  <si>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</si>
  <si>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</si>
  <si>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</si>
  <si>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</si>
  <si>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</si>
  <si>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</si>
  <si>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</si>
  <si>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</si>
  <si>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</si>
  <si>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</si>
  <si>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</si>
  <si>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</si>
  <si>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</si>
  <si>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</si>
  <si>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</si>
  <si>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</si>
  <si>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</si>
  <si>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</si>
  <si>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</si>
  <si>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</si>
  <si>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</si>
  <si>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</si>
  <si>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</si>
  <si>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</si>
  <si>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</si>
  <si>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</si>
  <si>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</si>
  <si>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</si>
  <si>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</si>
  <si>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</si>
  <si>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</si>
  <si>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</si>
  <si>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</si>
  <si>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</si>
  <si>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</si>
  <si>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</si>
  <si>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</si>
  <si>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</si>
  <si>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</si>
  <si>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</si>
  <si>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</si>
  <si>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</si>
  <si>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</si>
  <si>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</si>
  <si>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</si>
  <si>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</si>
  <si>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</si>
  <si>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</si>
  <si>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</si>
  <si>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</si>
  <si>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</si>
  <si>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</si>
  <si>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</si>
  <si>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</si>
  <si>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</si>
  <si>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</si>
  <si>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</si>
  <si>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</si>
  <si>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</si>
  <si>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</si>
  <si>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</si>
  <si>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</si>
  <si>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</si>
  <si>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</si>
  <si>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</si>
  <si>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</si>
  <si>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</si>
  <si>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</si>
  <si>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</si>
  <si>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</si>
  <si>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</si>
  <si>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</si>
  <si>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</si>
  <si>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</si>
  <si>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</si>
  <si>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</si>
  <si>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</si>
  <si>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</si>
  <si>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</si>
  <si>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</si>
  <si>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</si>
  <si>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</si>
  <si>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</si>
  <si>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</si>
  <si>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</si>
  <si>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</si>
  <si>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</si>
  <si>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</si>
  <si>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</si>
  <si>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</si>
  <si>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</si>
  <si>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</si>
  <si>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</si>
  <si>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</si>
  <si>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</si>
  <si>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</si>
  <si>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</si>
  <si>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</si>
  <si>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</si>
  <si>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</si>
  <si>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</si>
  <si>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</si>
  <si>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</si>
  <si>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</si>
  <si>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</si>
  <si>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</si>
  <si>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</si>
  <si>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</si>
  <si>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</si>
  <si>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</si>
  <si>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</si>
  <si>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</si>
  <si>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</si>
  <si>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</si>
  <si>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</si>
  <si>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</si>
  <si>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</si>
  <si>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</si>
  <si>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</si>
  <si>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</si>
  <si>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</si>
  <si>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</si>
  <si>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</si>
  <si>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</si>
  <si>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</si>
  <si>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</si>
  <si>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</si>
  <si>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</si>
  <si>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</si>
  <si>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</si>
  <si>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</si>
  <si>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</si>
  <si>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</si>
  <si>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</si>
  <si>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</si>
  <si>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</si>
  <si>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</si>
  <si>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</si>
  <si>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</si>
  <si>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</si>
  <si>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</si>
  <si>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</si>
  <si>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</si>
  <si>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</si>
  <si>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</si>
  <si>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</si>
  <si>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</si>
  <si>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</si>
  <si>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</si>
  <si>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</si>
  <si>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</si>
  <si>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</si>
  <si>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</si>
  <si>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</si>
  <si>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</si>
  <si>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</si>
  <si>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</si>
  <si>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</si>
  <si>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</si>
  <si>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</si>
  <si>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</si>
  <si>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</si>
  <si>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</si>
  <si>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</si>
  <si>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</si>
  <si>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</si>
  <si>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</si>
  <si>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</si>
  <si>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</si>
  <si>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</si>
  <si>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</si>
  <si>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</si>
  <si>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</si>
  <si>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</si>
  <si>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</si>
  <si>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</si>
  <si>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</si>
  <si>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</si>
  <si>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</si>
  <si>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</si>
  <si>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</si>
  <si>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</si>
  <si>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</si>
  <si>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</si>
  <si>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</si>
  <si>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</si>
  <si>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</si>
  <si>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</si>
  <si>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</si>
  <si>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</si>
  <si>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</si>
  <si>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</si>
  <si>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</si>
  <si>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</si>
  <si>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</si>
  <si>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</si>
  <si>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</si>
  <si>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</si>
  <si>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</si>
  <si>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</si>
  <si>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</si>
  <si>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</si>
  <si>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</si>
  <si>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</si>
  <si>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</si>
  <si>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</si>
  <si>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</si>
  <si>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</si>
  <si>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</si>
  <si>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</si>
  <si>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</si>
  <si>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</si>
  <si>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</si>
  <si>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</si>
  <si>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</si>
  <si>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</si>
  <si>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</si>
  <si>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</si>
  <si>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</si>
  <si>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</si>
  <si>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</si>
  <si>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</si>
  <si>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</si>
  <si>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</si>
  <si>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</si>
  <si>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</si>
  <si>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</si>
  <si>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</si>
  <si>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</si>
  <si>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</si>
  <si>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</si>
  <si>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</si>
  <si>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</si>
  <si>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</si>
  <si>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</si>
  <si>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</si>
  <si>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</si>
  <si>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</si>
  <si>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</si>
  <si>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</si>
  <si>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</si>
  <si>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</si>
  <si>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</si>
  <si>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</si>
  <si>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</si>
  <si>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</si>
  <si>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</si>
  <si>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</si>
  <si>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</si>
  <si>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</si>
  <si>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</si>
  <si>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</si>
  <si>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</si>
  <si>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</si>
  <si>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</si>
  <si>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</si>
  <si>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</si>
  <si>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</si>
  <si>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</si>
  <si>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</si>
  <si>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</si>
  <si>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</si>
  <si>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</si>
  <si>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</si>
  <si>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</si>
  <si>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</si>
  <si>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</si>
  <si>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</si>
  <si>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</si>
  <si>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</si>
  <si>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</si>
  <si>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</si>
  <si>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</si>
  <si>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</si>
  <si>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</si>
  <si>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</si>
  <si>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</si>
  <si>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</si>
  <si>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</si>
  <si>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</si>
  <si>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</si>
  <si>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</si>
  <si>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</si>
  <si>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</si>
  <si>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</si>
  <si>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</si>
  <si>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</si>
  <si>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</si>
  <si>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</si>
  <si>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</si>
  <si>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</si>
  <si>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</si>
  <si>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</si>
  <si>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</si>
  <si>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</si>
  <si>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</si>
  <si>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</si>
  <si>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</si>
  <si>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</si>
  <si>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</si>
  <si>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</si>
  <si>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</si>
  <si>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</si>
  <si>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</si>
  <si>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</si>
  <si>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</si>
  <si>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</si>
  <si>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</si>
  <si>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</si>
  <si>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</si>
  <si>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</si>
  <si>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</si>
  <si>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</si>
  <si>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</si>
  <si>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</si>
  <si>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</si>
  <si>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</si>
  <si>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</si>
  <si>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</si>
  <si>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</si>
  <si>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</si>
  <si>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</si>
  <si>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</si>
  <si>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</si>
  <si>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</si>
  <si>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</si>
  <si>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</si>
  <si>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</si>
  <si>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</si>
  <si>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</si>
  <si>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</si>
  <si>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</si>
  <si>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</si>
  <si>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</si>
  <si>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</si>
  <si>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</si>
  <si>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</si>
  <si>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</si>
  <si>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</si>
  <si>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</si>
  <si>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</si>
  <si>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</si>
  <si>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</si>
  <si>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</si>
  <si>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</si>
  <si>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</si>
  <si>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</si>
  <si>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</si>
  <si>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</si>
  <si>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</si>
  <si>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</si>
  <si>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</si>
  <si>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</si>
  <si>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</si>
  <si>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</si>
  <si>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</si>
  <si>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</si>
  <si>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</si>
  <si>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</si>
  <si>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</si>
  <si>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</si>
  <si>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</si>
  <si>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</si>
  <si>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</si>
  <si>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</si>
  <si>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</si>
  <si>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</si>
  <si>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</si>
  <si>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</si>
  <si>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</si>
  <si>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</si>
  <si>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</si>
  <si>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</si>
  <si>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</si>
  <si>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</si>
  <si>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</si>
  <si>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</si>
  <si>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</si>
  <si>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</si>
  <si>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</si>
  <si>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</si>
  <si>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</si>
  <si>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</si>
  <si>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</si>
  <si>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</si>
  <si>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</si>
  <si>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</si>
  <si>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</si>
  <si>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</si>
  <si>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</si>
  <si>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</si>
  <si>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</si>
  <si>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</si>
  <si>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</si>
  <si>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</si>
  <si>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</si>
  <si>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</si>
  <si>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</si>
  <si>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</si>
  <si>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</si>
  <si>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</si>
  <si>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</si>
  <si>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</si>
  <si>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</si>
  <si>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</si>
  <si>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</si>
  <si>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</si>
  <si>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</si>
  <si>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</si>
  <si>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</si>
  <si>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</si>
  <si>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</si>
  <si>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</si>
  <si>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</si>
  <si>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</si>
  <si>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</si>
  <si>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</si>
  <si>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</si>
  <si>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</si>
  <si>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</si>
  <si>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</si>
  <si>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</si>
  <si>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</si>
  <si>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</si>
  <si>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</si>
  <si>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</si>
  <si>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</si>
  <si>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</si>
  <si>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</si>
  <si>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</si>
  <si>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</si>
  <si>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</si>
  <si>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</si>
  <si>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</si>
  <si>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</si>
  <si>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</si>
  <si>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</si>
  <si>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</si>
  <si>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</si>
  <si>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</si>
  <si>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</si>
  <si>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</si>
  <si>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</si>
  <si>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</si>
  <si>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</si>
  <si>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</si>
  <si>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</si>
  <si>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</si>
  <si>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</si>
  <si>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</si>
  <si>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</si>
  <si>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</si>
  <si>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</si>
  <si>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</si>
  <si>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</si>
  <si>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</si>
  <si>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</si>
  <si>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</si>
  <si>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</si>
  <si>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</si>
  <si>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</si>
  <si>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</si>
  <si>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</si>
  <si>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</si>
  <si>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</si>
  <si>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</si>
  <si>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</si>
  <si>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</si>
  <si>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</si>
  <si>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</si>
  <si>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</si>
  <si>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</si>
  <si>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</si>
  <si>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</si>
  <si>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</si>
  <si>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</si>
  <si>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</si>
  <si>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</si>
  <si>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</si>
  <si>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</si>
  <si>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</si>
  <si>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</si>
  <si>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</si>
  <si>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</si>
  <si>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</si>
  <si>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</si>
  <si>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</si>
  <si>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</si>
  <si>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</si>
  <si>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</si>
  <si>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</si>
  <si>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</si>
  <si>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</si>
  <si>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</si>
  <si>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</si>
  <si>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</si>
  <si>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</si>
  <si>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</si>
  <si>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</si>
  <si>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</si>
  <si>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</si>
  <si>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</si>
  <si>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</si>
  <si>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</si>
  <si>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</si>
  <si>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</si>
  <si>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</si>
  <si>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</si>
  <si>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</si>
  <si>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</si>
  <si>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</si>
  <si>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</si>
  <si>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</si>
  <si>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</si>
  <si>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</si>
  <si>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</si>
  <si>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</si>
  <si>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</si>
  <si>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</si>
  <si>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</si>
  <si>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</si>
  <si>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</si>
  <si>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</si>
  <si>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</si>
  <si>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</si>
  <si>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</si>
  <si>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</si>
  <si>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</si>
  <si>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</si>
  <si>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</si>
  <si>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</si>
  <si>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</si>
  <si>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</si>
  <si>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</si>
  <si>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</si>
  <si>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</si>
  <si>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</si>
  <si>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</si>
  <si>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</si>
  <si>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</si>
  <si>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</si>
  <si>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</si>
  <si>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</si>
  <si>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</si>
  <si>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</si>
  <si>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</si>
  <si>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</si>
  <si>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</si>
  <si>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</si>
  <si>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</si>
  <si>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</si>
  <si>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</si>
  <si>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</si>
  <si>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</si>
  <si>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</si>
  <si>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</si>
  <si>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</si>
  <si>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</si>
  <si>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</si>
  <si>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</si>
  <si>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</si>
  <si>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</si>
  <si>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</si>
  <si>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</si>
  <si>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</si>
  <si>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</si>
  <si>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</si>
  <si>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</si>
  <si>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</si>
  <si>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</si>
  <si>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</si>
  <si>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</si>
  <si>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</si>
  <si>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</si>
  <si>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</si>
  <si>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</si>
  <si>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</si>
  <si>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</si>
  <si>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</si>
  <si>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</si>
  <si>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</si>
  <si>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</si>
  <si>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</si>
  <si>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</si>
  <si>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</si>
  <si>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</si>
  <si>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</si>
  <si>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</si>
  <si>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</si>
  <si>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</si>
  <si>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</si>
  <si>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</si>
  <si>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</si>
  <si>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</si>
  <si>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</si>
  <si>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</si>
  <si>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</si>
  <si>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</si>
  <si>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</si>
  <si>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</si>
  <si>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</si>
  <si>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</si>
  <si>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</si>
  <si>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</si>
  <si>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</si>
  <si>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</si>
  <si>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</si>
  <si>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</si>
  <si>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</si>
  <si>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</si>
  <si>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</si>
  <si>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</si>
  <si>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</si>
  <si>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</si>
  <si>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</si>
  <si>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</si>
  <si>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</si>
  <si>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</si>
  <si>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</si>
  <si>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</si>
  <si>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</si>
  <si>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</si>
  <si>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</si>
  <si>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</si>
  <si>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</si>
  <si>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</si>
  <si>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</si>
  <si>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</si>
  <si>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</si>
  <si>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</si>
  <si>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</si>
  <si>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</si>
  <si>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</si>
  <si>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</si>
  <si>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</si>
  <si>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</si>
  <si>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</si>
  <si>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</si>
  <si>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</si>
  <si>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</si>
  <si>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</si>
  <si>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</si>
  <si>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</si>
  <si>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</si>
  <si>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</si>
  <si>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</si>
  <si>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</si>
  <si>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</si>
  <si>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</si>
  <si>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</si>
  <si>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</si>
  <si>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</si>
  <si>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</si>
  <si>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</si>
  <si>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</si>
  <si>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</si>
  <si>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</si>
  <si>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</si>
  <si>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</si>
  <si>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</si>
  <si>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</si>
  <si>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</si>
  <si>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</si>
  <si>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</si>
  <si>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</si>
  <si>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</si>
  <si>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</si>
  <si>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</si>
  <si>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</si>
  <si>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</si>
  <si>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</si>
  <si>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</si>
  <si>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</si>
  <si>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</si>
  <si>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</si>
  <si>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</si>
  <si>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</si>
  <si>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</si>
  <si>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</si>
  <si>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</si>
  <si>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</si>
  <si>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</si>
  <si>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</si>
  <si>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</si>
  <si>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</si>
  <si>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</si>
  <si>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</si>
  <si>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</si>
  <si>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</si>
  <si>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</si>
  <si>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</si>
  <si>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</si>
  <si>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</si>
  <si>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</si>
  <si>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</si>
  <si>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</si>
  <si>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</si>
  <si>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</si>
  <si>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</si>
  <si>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</si>
  <si>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</si>
  <si>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</si>
  <si>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</si>
  <si>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</si>
  <si>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</si>
  <si>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</si>
  <si>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</si>
  <si>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</si>
  <si>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</si>
  <si>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</si>
  <si>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</si>
  <si>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</si>
  <si>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</si>
  <si>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</si>
  <si>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</si>
  <si>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</si>
  <si>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</si>
  <si>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</si>
  <si>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</si>
  <si>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</si>
  <si>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</si>
  <si>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</si>
  <si>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</si>
  <si>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</si>
  <si>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</si>
  <si>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</si>
  <si>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</si>
  <si>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</si>
  <si>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</si>
  <si>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</si>
  <si>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</si>
  <si>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</si>
  <si>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</si>
  <si>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</si>
  <si>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</si>
  <si>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</si>
  <si>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</si>
  <si>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</si>
  <si>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</si>
  <si>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</si>
  <si>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</si>
  <si>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</si>
  <si>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</si>
  <si>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</si>
  <si>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</si>
  <si>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</si>
  <si>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</si>
  <si>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</si>
  <si>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</si>
  <si>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</si>
  <si>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</si>
  <si>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</si>
  <si>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</si>
  <si>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</si>
  <si>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</si>
  <si>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</si>
  <si>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</si>
  <si>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</si>
  <si>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</si>
  <si>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</si>
  <si>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</si>
  <si>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</si>
  <si>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</si>
  <si>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</si>
  <si>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</si>
  <si>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</si>
  <si>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</si>
  <si>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</si>
  <si>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</si>
  <si>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</si>
  <si>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</si>
  <si>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</si>
  <si>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</si>
  <si>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</si>
  <si>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</si>
  <si>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</si>
  <si>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</si>
  <si>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</si>
  <si>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</si>
  <si>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</si>
  <si>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</si>
  <si>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</si>
  <si>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</si>
  <si>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</si>
  <si>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</si>
  <si>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</si>
  <si>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</si>
  <si>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</si>
  <si>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</si>
  <si>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</si>
  <si>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</si>
  <si>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</si>
  <si>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</si>
  <si>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</si>
  <si>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</si>
  <si>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</si>
  <si>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</si>
  <si>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</si>
  <si>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</si>
  <si>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</si>
  <si>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</si>
  <si>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</si>
  <si>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</si>
  <si>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</si>
  <si>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</si>
  <si>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</si>
  <si>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</si>
  <si>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</si>
  <si>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</si>
  <si>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</si>
  <si>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</si>
  <si>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</si>
  <si>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</si>
  <si>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</si>
  <si>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</si>
  <si>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</si>
  <si>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</si>
  <si>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</si>
  <si>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</si>
  <si>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</si>
  <si>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</si>
  <si>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</si>
  <si>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</si>
  <si>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</si>
  <si>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</si>
  <si>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</si>
  <si>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</si>
  <si>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</si>
  <si>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</si>
  <si>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</si>
  <si>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</si>
  <si>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</si>
  <si>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</si>
  <si>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</si>
  <si>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</si>
  <si>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</si>
  <si>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</si>
  <si>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</si>
  <si>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</si>
  <si>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</si>
  <si>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</si>
  <si>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</si>
  <si>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</si>
  <si>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</si>
  <si>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</si>
  <si>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</si>
  <si>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</si>
  <si>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</si>
  <si>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</si>
  <si>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</si>
  <si>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</si>
  <si>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</si>
  <si>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</si>
  <si>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</si>
  <si>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</si>
  <si>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</si>
  <si>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</si>
  <si>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</si>
  <si>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</si>
  <si>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</si>
  <si>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</si>
  <si>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</si>
  <si>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</si>
  <si>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</si>
  <si>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</si>
  <si>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</si>
  <si>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</si>
  <si>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</si>
  <si>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</si>
  <si>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</si>
  <si>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</si>
  <si>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</si>
  <si>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</si>
  <si>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</si>
  <si>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</si>
  <si>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</si>
  <si>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</si>
  <si>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</si>
  <si>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</si>
  <si>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</si>
  <si>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</si>
  <si>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</si>
  <si>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</si>
  <si>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</si>
  <si>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</si>
  <si>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</si>
  <si>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</si>
  <si>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</si>
  <si>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</si>
  <si>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</si>
  <si>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</si>
  <si>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</si>
  <si>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</si>
  <si>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</si>
  <si>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</si>
  <si>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</si>
  <si>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</si>
  <si>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</si>
  <si>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</si>
  <si>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</si>
  <si>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</si>
  <si>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</si>
  <si>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</si>
  <si>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</si>
  <si>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</si>
  <si>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</si>
  <si>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</si>
  <si>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</si>
  <si>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</si>
  <si>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</si>
  <si>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</si>
  <si>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</si>
  <si>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</si>
  <si>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</si>
  <si>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</si>
  <si>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</si>
  <si>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</si>
  <si>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</si>
  <si>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</si>
  <si>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</si>
  <si>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</si>
  <si>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</si>
  <si>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</si>
  <si>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</si>
  <si>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</si>
  <si>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</si>
  <si>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</si>
  <si>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</si>
  <si>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</si>
  <si>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</si>
  <si>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</si>
  <si>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</si>
  <si>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</si>
  <si>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</si>
  <si>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</si>
  <si>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</si>
  <si>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</si>
  <si>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</si>
  <si>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</si>
  <si>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</si>
  <si>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</si>
  <si>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</si>
  <si>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</si>
  <si>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</si>
  <si>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</si>
  <si>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</si>
  <si>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</si>
  <si>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</si>
  <si>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</si>
  <si>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</si>
  <si>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</si>
  <si>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</si>
  <si>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</si>
  <si>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</si>
  <si>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</si>
  <si>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</si>
  <si>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</si>
  <si>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</si>
  <si>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</si>
  <si>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</si>
  <si>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</si>
  <si>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</si>
  <si>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</si>
  <si>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</si>
  <si>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</si>
  <si>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</si>
  <si>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</si>
  <si>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</si>
  <si>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</si>
  <si>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</si>
  <si>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</si>
  <si>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</si>
  <si>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</si>
  <si>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</si>
  <si>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</si>
  <si>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</si>
  <si>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</si>
  <si>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</si>
  <si>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</si>
  <si>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</si>
  <si>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</si>
  <si>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</si>
  <si>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</si>
  <si>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</si>
  <si>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</si>
  <si>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</si>
  <si>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</si>
  <si>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</si>
  <si>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</si>
  <si>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</si>
  <si>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</si>
  <si>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</si>
  <si>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</si>
  <si>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</si>
  <si>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</si>
  <si>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</si>
  <si>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</si>
  <si>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</si>
  <si>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</si>
  <si>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</si>
  <si>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</si>
  <si>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</si>
  <si>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</si>
  <si>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</si>
  <si>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</si>
  <si>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</si>
  <si>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</si>
  <si>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</si>
  <si>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</si>
  <si>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</si>
  <si>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</si>
  <si>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</si>
  <si>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</si>
  <si>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</si>
  <si>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</si>
  <si>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</si>
  <si>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</si>
  <si>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</si>
  <si>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</si>
  <si>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</si>
  <si>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</si>
  <si>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</si>
  <si>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</si>
  <si>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</si>
  <si>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</si>
  <si>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</si>
  <si>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</si>
  <si>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</si>
  <si>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</si>
  <si>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</si>
  <si>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</si>
  <si>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</si>
  <si>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</si>
  <si>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</si>
  <si>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</si>
  <si>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</si>
  <si>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</si>
  <si>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</si>
  <si>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</si>
  <si>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</si>
  <si>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</si>
  <si>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</si>
  <si>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</si>
  <si>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</si>
  <si>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</si>
  <si>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</si>
  <si>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</si>
  <si>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</si>
  <si>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</si>
  <si>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</si>
  <si>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</si>
  <si>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</si>
  <si>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</si>
  <si>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</si>
  <si>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</si>
  <si>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</si>
  <si>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</si>
  <si>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</si>
  <si>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</si>
  <si>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</si>
  <si>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</si>
  <si>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</si>
  <si>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</si>
  <si>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</si>
  <si>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</si>
  <si>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</si>
  <si>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</si>
  <si>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</si>
  <si>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</si>
  <si>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</si>
  <si>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</si>
  <si>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</si>
  <si>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</si>
  <si>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</si>
  <si>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</si>
  <si>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</si>
  <si>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</si>
  <si>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</si>
  <si>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</si>
  <si>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</si>
  <si>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</si>
  <si>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</si>
  <si>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</si>
  <si>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</si>
  <si>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</si>
  <si>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</si>
  <si>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</si>
  <si>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</si>
  <si>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</si>
  <si>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</si>
  <si>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</si>
  <si>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</si>
  <si>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</si>
  <si>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</si>
  <si>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</si>
  <si>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</si>
  <si>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</si>
  <si>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</si>
  <si>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</si>
  <si>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</si>
  <si>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</si>
  <si>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</si>
  <si>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</si>
  <si>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</si>
  <si>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</si>
  <si>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</si>
  <si>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</si>
  <si>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</si>
  <si>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</si>
  <si>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</si>
  <si>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</si>
  <si>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</si>
  <si>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</si>
  <si>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</si>
  <si>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</si>
  <si>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</si>
  <si>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</si>
  <si>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</si>
  <si>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</si>
  <si>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</si>
  <si>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</si>
  <si>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</si>
  <si>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</si>
  <si>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</si>
  <si>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</si>
  <si>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</si>
  <si>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</si>
  <si>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</si>
  <si>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</si>
  <si>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</si>
  <si>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</si>
  <si>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</si>
  <si>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</si>
  <si>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</si>
  <si>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</si>
  <si>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</si>
  <si>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</si>
  <si>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</si>
  <si>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</si>
  <si>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</si>
  <si>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</si>
  <si>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</si>
  <si>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</si>
  <si>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</si>
  <si>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</si>
  <si>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</si>
  <si>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</si>
  <si>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</si>
  <si>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</si>
  <si>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</si>
  <si>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</si>
  <si>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</si>
  <si>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</si>
  <si>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</si>
  <si>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</si>
  <si>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</si>
  <si>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</si>
  <si>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</si>
  <si>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</si>
  <si>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</si>
  <si>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</si>
  <si>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</si>
  <si>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</si>
  <si>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</si>
  <si>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</si>
  <si>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</si>
  <si>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</si>
  <si>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</si>
  <si>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</si>
  <si>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</si>
  <si>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</si>
  <si>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</si>
  <si>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</si>
  <si>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</si>
  <si>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</si>
  <si>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</si>
  <si>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</si>
  <si>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</si>
  <si>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</si>
  <si>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</si>
  <si>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</si>
  <si>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</si>
  <si>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</si>
  <si>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</si>
  <si>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</si>
  <si>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</si>
  <si>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</si>
  <si>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</si>
  <si>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</si>
  <si>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</si>
  <si>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</si>
  <si>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</si>
  <si>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</si>
  <si>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</si>
  <si>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</si>
  <si>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</si>
  <si>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</si>
  <si>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</si>
  <si>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</si>
  <si>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</si>
  <si>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</si>
  <si>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</si>
  <si>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</si>
  <si>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</si>
  <si>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</si>
  <si>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</si>
  <si>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</si>
  <si>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</si>
  <si>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</si>
  <si>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</si>
  <si>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</si>
  <si>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</si>
  <si>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</si>
  <si>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</si>
  <si>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</si>
  <si>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</si>
  <si>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</si>
  <si>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</si>
  <si>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</si>
  <si>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</si>
  <si>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</si>
  <si>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</si>
  <si>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</si>
  <si>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</si>
  <si>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</si>
  <si>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</si>
  <si>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</si>
  <si>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</si>
  <si>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</si>
  <si>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</si>
  <si>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</si>
  <si>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</si>
  <si>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</si>
  <si>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</si>
  <si>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</si>
  <si>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</si>
  <si>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</si>
  <si>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</si>
  <si>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</si>
  <si>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</si>
  <si>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</si>
  <si>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</si>
  <si>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</si>
  <si>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</si>
  <si>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</si>
  <si>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</si>
  <si>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</si>
  <si>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</si>
  <si>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</si>
  <si>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</si>
  <si>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</si>
  <si>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</si>
  <si>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</si>
  <si>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</si>
  <si>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</si>
  <si>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</si>
  <si>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</si>
  <si>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</si>
  <si>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</si>
  <si>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</si>
  <si>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</si>
  <si>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</si>
  <si>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</si>
  <si>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</si>
  <si>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</si>
  <si>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</si>
  <si>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</si>
  <si>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</si>
  <si>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</si>
  <si>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</si>
  <si>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</si>
  <si>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</si>
  <si>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</si>
  <si>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</si>
  <si>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</si>
  <si>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</si>
  <si>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</si>
  <si>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</si>
  <si>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</si>
  <si>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</si>
  <si>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</si>
  <si>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</si>
  <si>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</si>
  <si>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</si>
  <si>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</si>
  <si>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</si>
  <si>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</si>
  <si>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</si>
  <si>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</si>
  <si>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</si>
  <si>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</si>
  <si>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</si>
  <si>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</si>
  <si>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</si>
  <si>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</si>
  <si>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</si>
  <si>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</si>
  <si>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</si>
  <si>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</si>
  <si>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</si>
  <si>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</si>
  <si>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</si>
  <si>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</si>
  <si>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</si>
  <si>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</si>
  <si>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</si>
  <si>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</si>
  <si>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</si>
  <si>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</si>
  <si>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</si>
  <si>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</si>
  <si>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</si>
  <si>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</si>
  <si>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</si>
  <si>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</si>
  <si>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</si>
  <si>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</si>
  <si>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</si>
  <si>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</si>
  <si>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</si>
  <si>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</si>
  <si>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</si>
  <si>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</si>
  <si>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</si>
  <si>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</si>
  <si>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</si>
  <si>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</si>
  <si>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</si>
  <si>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</si>
  <si>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</si>
  <si>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</si>
  <si>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</si>
  <si>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</si>
  <si>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</si>
  <si>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</si>
  <si>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</si>
  <si>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</si>
  <si>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</si>
  <si>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</si>
  <si>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</si>
  <si>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</si>
  <si>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</si>
  <si>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</si>
  <si>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</si>
  <si>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05140205741016</t>
  </si>
  <si>
    <t>JOSE MARIO GUZMAN CAÑAS</t>
  </si>
  <si>
    <t>REDIFAR S.A DE C.V.</t>
  </si>
  <si>
    <t>06190405610028</t>
  </si>
  <si>
    <t>DANIEL GOMEZ RIVAS</t>
  </si>
  <si>
    <t>12172704921013</t>
  </si>
  <si>
    <t>UNIRAD S.A DE C.V.</t>
  </si>
  <si>
    <t>06141502011051</t>
  </si>
  <si>
    <t>BACK UP SYSTEM S.A DE C.V.</t>
  </si>
  <si>
    <t>EMBUTIDOS DE EL SALVADOR S.A DE C.V.</t>
  </si>
  <si>
    <t>PASTELES DEL EL SALVADOR S.A DE C.V.</t>
  </si>
  <si>
    <t>06143006710012</t>
  </si>
  <si>
    <t>ACOPACREMS DE R.L</t>
  </si>
  <si>
    <t>06142402061074</t>
  </si>
  <si>
    <t>PROMED DE EL SALVADOR</t>
  </si>
  <si>
    <t>06142102201044</t>
  </si>
  <si>
    <t>RIVER IMPORT, S.A DE C.V.</t>
  </si>
  <si>
    <t>06140904931100</t>
  </si>
  <si>
    <t>YANIRA MARISOL RODRIGUEZ DE GUZMAN</t>
  </si>
  <si>
    <t>ALGIERS IMPRESORES S.A DE C.V.</t>
  </si>
  <si>
    <t>06141510941033</t>
  </si>
  <si>
    <t>ESTRUCTURISTAS CONSULTORES S.A DE C.V.</t>
  </si>
  <si>
    <t>05012002131010</t>
  </si>
  <si>
    <t>ADVANCE CHOICE, S.A. DE C.V.</t>
  </si>
  <si>
    <t>JOSE RICARDO ANTONIO MOLINA</t>
  </si>
  <si>
    <t>CTE TELECOM PERSONAL, S.A. DE C.V.</t>
  </si>
  <si>
    <t>11</t>
  </si>
  <si>
    <t>15041RESCR198052011</t>
  </si>
  <si>
    <t>11BL000X</t>
  </si>
  <si>
    <t>06141105101010</t>
  </si>
  <si>
    <t>06141811971019</t>
  </si>
  <si>
    <t>EX SERV</t>
  </si>
  <si>
    <t>23DS000E</t>
  </si>
  <si>
    <t>263</t>
  </si>
  <si>
    <t>MARIA ARACELY CASTILLO PEREZ</t>
  </si>
  <si>
    <t>041492486</t>
  </si>
  <si>
    <t>NELSON EDUARDO REYES DIAZ</t>
  </si>
  <si>
    <t>10070610540017</t>
  </si>
  <si>
    <t>03/11/2023</t>
  </si>
  <si>
    <t>CARGOMANIA, S.A. DE C.V.</t>
  </si>
  <si>
    <t>MULTI-TECNOLOGIA, S.A. DE C.V.</t>
  </si>
  <si>
    <t>06142905061080</t>
  </si>
  <si>
    <t>RESTAURANTE DIAMANTE DE CHINA SA DE CV</t>
  </si>
  <si>
    <t>QUITAR GUIONES</t>
  </si>
  <si>
    <t>TEXTO</t>
  </si>
  <si>
    <t>RESULTADO</t>
  </si>
  <si>
    <t>0614-010858-001-7</t>
  </si>
  <si>
    <t>02/01/2024</t>
  </si>
  <si>
    <t>03/01/2024</t>
  </si>
  <si>
    <t>31/12/2023</t>
  </si>
  <si>
    <t>2A298F5F-5043-43B5-A26C-81D2B72D6078</t>
  </si>
  <si>
    <t xml:space="preserve">RIVAS INTERIANO OSCAR HUMBERTO </t>
  </si>
  <si>
    <t>HENGST JOHN  RAYMOND</t>
  </si>
  <si>
    <t>94501112611018</t>
  </si>
  <si>
    <t>012024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</si>
</sst>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2"/>
      <color rgb="FF212529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2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12" borderId="0" xfId="0" applyNumberFormat="1" applyFill="1"/>
    <xf numFmtId="49" fontId="0" fillId="0" borderId="0" xfId="0" quotePrefix="1" applyNumberFormat="1" applyProtection="1">
      <protection locked="0"/>
    </xf>
    <xf numFmtId="0" fontId="11" fillId="7" borderId="6" xfId="0" quotePrefix="1" applyFont="1" applyFill="1" applyBorder="1" applyAlignment="1">
      <alignment horizontal="center"/>
    </xf>
    <xf numFmtId="0" fontId="22" fillId="0" borderId="0" xfId="0" applyFont="1"/>
    <xf numFmtId="0" fontId="0" fillId="16" borderId="32" xfId="0" applyFill="1" applyBorder="1"/>
    <xf numFmtId="11" fontId="33" fillId="17" borderId="0" xfId="0" applyNumberFormat="1" applyFont="1" applyFill="1"/>
    <xf numFmtId="0" fontId="0" fillId="17" borderId="0" xfId="0" applyFill="1"/>
    <xf numFmtId="0" fontId="0" fillId="17" borderId="33" xfId="0" applyFill="1" applyBorder="1"/>
    <xf numFmtId="0" fontId="0" fillId="12" borderId="0" xfId="0" applyFill="1"/>
    <xf numFmtId="0" fontId="0" fillId="18" borderId="32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7" borderId="0" xfId="0" applyNumberFormat="1" applyFill="1"/>
    <xf numFmtId="0" fontId="0" fillId="18" borderId="35" xfId="0" applyFill="1" applyBorder="1"/>
    <xf numFmtId="0" fontId="0" fillId="12" borderId="36" xfId="0" applyFill="1" applyBorder="1"/>
    <xf numFmtId="49" fontId="26" fillId="12" borderId="28" xfId="0" applyNumberFormat="1" applyFont="1" applyFill="1" applyBorder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F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8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6" dataCellStyle="Moneda"/>
    <tableColumn id="9" xr3:uid="{00000000-0010-0000-0000-000009000000}" name="I. EXENTAS" dataDxfId="115" dataCellStyle="Moneda"/>
    <tableColumn id="10" xr3:uid="{00000000-0010-0000-0000-00000A000000}" name="IMPOR EX" dataDxfId="114" dataCellStyle="Moneda"/>
    <tableColumn id="11" xr3:uid="{00000000-0010-0000-0000-00000B000000}" name="C. GRAVADA" dataCellStyle="Moneda"/>
    <tableColumn id="12" xr3:uid="{00000000-0010-0000-0000-00000C000000}" name="INTER GRAVA" dataDxfId="113" dataCellStyle="Moneda"/>
    <tableColumn id="13" xr3:uid="{00000000-0010-0000-0000-00000D000000}" name="IMPOR BIENES" dataDxfId="112" dataCellStyle="Moneda"/>
    <tableColumn id="14" xr3:uid="{00000000-0010-0000-0000-00000E000000}" name="IMPOR SERV" dataDxfId="111" dataCellStyle="Moneda"/>
    <tableColumn id="15" xr3:uid="{00000000-0010-0000-0000-00000F000000}" name="IVA" dataDxfId="110" dataCellStyle="Moneda"/>
    <tableColumn id="16" xr3:uid="{00000000-0010-0000-0000-000010000000}" name="TOTAL C." dataDxfId="109" dataCellStyle="Moneda"/>
    <tableColumn id="20" xr3:uid="{00000000-0010-0000-0000-000014000000}" name="DUI" dataDxfId="108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7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6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5"/>
    <tableColumn id="10" xr3:uid="{00000000-0010-0000-0100-00000A000000}" name="NOMBRE DE CLIENTE"/>
    <tableColumn id="11" xr3:uid="{00000000-0010-0000-0100-00000B000000}" name="VENTA EXENTA" dataDxfId="104" dataCellStyle="Moneda"/>
    <tableColumn id="12" xr3:uid="{00000000-0010-0000-0100-00000C000000}" name="VENTA NO SUJETA" dataDxfId="103" dataCellStyle="Moneda"/>
    <tableColumn id="13" xr3:uid="{00000000-0010-0000-0100-00000D000000}" name="V. GRAVADA" dataDxfId="102" dataCellStyle="Moneda"/>
    <tableColumn id="14" xr3:uid="{00000000-0010-0000-0100-00000E000000}" name="D.FISCAL" dataDxfId="101" dataCellStyle="Moneda"/>
    <tableColumn id="15" xr3:uid="{00000000-0010-0000-0100-00000F000000}" name="V CTA DE 3" dataDxfId="100" dataCellStyle="Moneda"/>
    <tableColumn id="16" xr3:uid="{00000000-0010-0000-0100-000010000000}" name="D. FISCAL A 3" dataDxfId="99" dataCellStyle="Moneda"/>
    <tableColumn id="17" xr3:uid="{00000000-0010-0000-0100-000011000000}" name="VENTA TOTAL" dataDxfId="98" dataCellStyle="Moneda"/>
    <tableColumn id="20" xr3:uid="{00000000-0010-0000-0100-000014000000}" name="DUI" dataDxfId="97" dataCellStyle="Moneda"/>
    <tableColumn id="1" xr3:uid="{00000000-0010-0000-0100-000001000000}" name="ANEXO" dataDxfId="96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4" totalsRowShown="0" dataDxfId="95" dataCellStyle="Moneda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 dataDxfId="94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83" headerRowBorderDxfId="82" tableBorderDxfId="81"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40" totalsRowShown="0">
  <autoFilter ref="A1:B4540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6" totalsRowCount="1" headerRowDxfId="37" dataDxfId="36" headerRowCellStyle="Moneda" dataCellStyle="Moneda">
  <autoFilter ref="A2:S5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42" t="s">
        <v>9241</v>
      </c>
      <c r="H2" s="143"/>
      <c r="I2" s="143"/>
      <c r="J2" s="143"/>
      <c r="K2" s="144"/>
    </row>
    <row r="3" spans="2:12 16384:16384" ht="17.25" x14ac:dyDescent="0.3">
      <c r="B3" s="23" t="s">
        <v>17</v>
      </c>
      <c r="D3" s="46" t="s">
        <v>8491</v>
      </c>
      <c r="G3" s="128" t="s">
        <v>9242</v>
      </c>
      <c r="H3" s="129" t="s">
        <v>9248</v>
      </c>
      <c r="I3" s="130"/>
      <c r="J3" s="130"/>
      <c r="K3" s="131"/>
      <c r="L3" s="132">
        <f>LEN(H3)</f>
        <v>36</v>
      </c>
      <c r="XFD3" t="s">
        <v>8491</v>
      </c>
    </row>
    <row r="4" spans="2:12 16384:16384" x14ac:dyDescent="0.25">
      <c r="B4" s="23" t="s">
        <v>2</v>
      </c>
      <c r="D4" s="45" t="s">
        <v>9247</v>
      </c>
      <c r="G4" s="133" t="s">
        <v>9243</v>
      </c>
      <c r="H4" s="134" t="str">
        <f>SUBSTITUTE(H3,"-","")</f>
        <v>2A298F5F504343B5A26C81D2B72D6078</v>
      </c>
      <c r="I4" s="132"/>
      <c r="J4" s="132"/>
      <c r="K4" s="135"/>
      <c r="L4" s="132">
        <f t="shared" ref="L4:L8" si="0"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36"/>
      <c r="H5" s="132"/>
      <c r="I5" s="132"/>
      <c r="J5" s="132"/>
      <c r="K5" s="135"/>
      <c r="L5" s="132">
        <f t="shared" si="0"/>
        <v>0</v>
      </c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36"/>
      <c r="K6" s="137"/>
      <c r="L6" s="132">
        <f t="shared" si="0"/>
        <v>0</v>
      </c>
      <c r="XFD6" t="s">
        <v>8488</v>
      </c>
    </row>
    <row r="7" spans="2:12 16384:16384" x14ac:dyDescent="0.25">
      <c r="B7" s="23" t="s">
        <v>5</v>
      </c>
      <c r="D7" s="126"/>
      <c r="G7" s="128" t="s">
        <v>9242</v>
      </c>
      <c r="H7" s="138" t="s">
        <v>9244</v>
      </c>
      <c r="I7" s="130"/>
      <c r="J7" s="130"/>
      <c r="K7" s="131"/>
      <c r="L7" s="132">
        <f t="shared" si="0"/>
        <v>17</v>
      </c>
      <c r="XFD7" t="s">
        <v>8490</v>
      </c>
    </row>
    <row r="8" spans="2:12 16384:16384" x14ac:dyDescent="0.25">
      <c r="B8" s="23" t="s">
        <v>6</v>
      </c>
      <c r="D8" s="124" t="s">
        <v>1455</v>
      </c>
      <c r="G8" s="139" t="s">
        <v>9243</v>
      </c>
      <c r="H8" s="134" t="str">
        <f>SUBSTITUTE(H7,"-","")</f>
        <v>06140108580017</v>
      </c>
      <c r="I8" s="134"/>
      <c r="J8" s="134"/>
      <c r="K8" s="140"/>
      <c r="L8" s="132">
        <f t="shared" si="0"/>
        <v>14</v>
      </c>
      <c r="XFD8" t="s">
        <v>8489</v>
      </c>
    </row>
    <row r="9" spans="2:12 16384:16384" x14ac:dyDescent="0.25">
      <c r="B9" s="23" t="s">
        <v>70</v>
      </c>
      <c r="D9" s="103" t="str">
        <f>IFERROR(IF(D19&lt;&gt;"",VLOOKUP(D19,Tabla4[#All],2,0),IF(D8&lt;&gt;0,VLOOKUP(D8,Tabla4[#All],2,0),0)),"")</f>
        <v>JOSE RICARDO MOLINA</v>
      </c>
      <c r="XFD9" t="s">
        <v>9013</v>
      </c>
    </row>
    <row r="10" spans="2:12 16384:16384" x14ac:dyDescent="0.25">
      <c r="B10" s="23" t="s">
        <v>7</v>
      </c>
      <c r="D10" s="104">
        <v>0</v>
      </c>
      <c r="F10" s="2"/>
      <c r="XFD10" t="s">
        <v>9014</v>
      </c>
    </row>
    <row r="11" spans="2:12 16384:16384" x14ac:dyDescent="0.25">
      <c r="B11" s="23" t="s">
        <v>8</v>
      </c>
      <c r="D11" s="104">
        <v>0</v>
      </c>
      <c r="F11" s="2"/>
      <c r="XFD11" t="s">
        <v>9015</v>
      </c>
    </row>
    <row r="12" spans="2:12 16384:16384" x14ac:dyDescent="0.25">
      <c r="B12" s="23" t="s">
        <v>9</v>
      </c>
      <c r="D12" s="104">
        <v>0</v>
      </c>
      <c r="F12" s="2"/>
      <c r="XFD12" t="s">
        <v>9016</v>
      </c>
    </row>
    <row r="13" spans="2:12 16384:16384" x14ac:dyDescent="0.25">
      <c r="B13" s="23" t="s">
        <v>10</v>
      </c>
      <c r="D13" s="105"/>
      <c r="F13" s="15"/>
      <c r="XFD13" t="s">
        <v>9017</v>
      </c>
    </row>
    <row r="14" spans="2:12 16384:16384" x14ac:dyDescent="0.25">
      <c r="B14" s="23" t="s">
        <v>11</v>
      </c>
      <c r="D14" s="104">
        <v>0</v>
      </c>
      <c r="F14" s="2"/>
      <c r="XFD14" t="s">
        <v>9018</v>
      </c>
    </row>
    <row r="15" spans="2:12 16384:16384" x14ac:dyDescent="0.25">
      <c r="B15" s="23" t="s">
        <v>13</v>
      </c>
      <c r="D15" s="104">
        <v>0</v>
      </c>
      <c r="F15" s="2"/>
    </row>
    <row r="16" spans="2:12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43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8947</v>
      </c>
      <c r="C1" s="54" t="s">
        <v>8946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8939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8936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2" priority="1"/>
    <cfRule type="duplicateValues" dxfId="12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72"/>
  <sheetViews>
    <sheetView topLeftCell="B1" zoomScaleNormal="100" workbookViewId="0">
      <selection activeCell="P9" sqref="P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9247</v>
      </c>
      <c r="C3" t="s">
        <v>7706</v>
      </c>
      <c r="D3" t="s">
        <v>0</v>
      </c>
      <c r="E3">
        <v>4197336</v>
      </c>
      <c r="F3" t="s">
        <v>1455</v>
      </c>
      <c r="G3" t="s">
        <v>1456</v>
      </c>
      <c r="H3" s="2">
        <v>0</v>
      </c>
      <c r="I3" s="2">
        <v>0</v>
      </c>
      <c r="J3" s="2">
        <v>0</v>
      </c>
      <c r="K3" s="15">
        <v>46.02</v>
      </c>
      <c r="L3" s="2">
        <v>0</v>
      </c>
      <c r="M3" s="2">
        <v>0</v>
      </c>
      <c r="N3" s="2">
        <v>0</v>
      </c>
      <c r="O3" s="2">
        <v>5.9826000000000006</v>
      </c>
      <c r="P3" s="2">
        <v>52.002600000000001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9246</v>
      </c>
      <c r="C4" t="s">
        <v>7706</v>
      </c>
      <c r="D4" t="s">
        <v>0</v>
      </c>
      <c r="E4">
        <v>70841</v>
      </c>
      <c r="F4" t="s">
        <v>1455</v>
      </c>
      <c r="G4" t="s">
        <v>1456</v>
      </c>
      <c r="H4" s="2">
        <v>3.58</v>
      </c>
      <c r="I4" s="2">
        <v>0</v>
      </c>
      <c r="J4" s="2">
        <v>0</v>
      </c>
      <c r="K4" s="15">
        <v>36.65</v>
      </c>
      <c r="L4" s="2">
        <v>0</v>
      </c>
      <c r="M4" s="2">
        <v>0</v>
      </c>
      <c r="N4" s="2">
        <v>0</v>
      </c>
      <c r="O4" s="2">
        <v>4.7645</v>
      </c>
      <c r="P4" s="2">
        <v>44.994499999999995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9245</v>
      </c>
      <c r="C5" t="s">
        <v>7706</v>
      </c>
      <c r="D5" t="s">
        <v>0</v>
      </c>
      <c r="E5">
        <v>158793</v>
      </c>
      <c r="F5" t="s">
        <v>3075</v>
      </c>
      <c r="G5" t="s">
        <v>3076</v>
      </c>
      <c r="H5" s="2">
        <v>0</v>
      </c>
      <c r="I5" s="2">
        <v>0</v>
      </c>
      <c r="J5" s="2">
        <v>0</v>
      </c>
      <c r="K5" s="15">
        <v>85</v>
      </c>
      <c r="L5" s="2">
        <v>0</v>
      </c>
      <c r="M5" s="2">
        <v>0</v>
      </c>
      <c r="N5" s="2">
        <v>0</v>
      </c>
      <c r="O5" s="2">
        <v>11.05</v>
      </c>
      <c r="P5" s="2">
        <v>96.05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9245</v>
      </c>
      <c r="C6" t="s">
        <v>7706</v>
      </c>
      <c r="D6" t="s">
        <v>0</v>
      </c>
      <c r="E6">
        <v>4452817</v>
      </c>
      <c r="F6" t="s">
        <v>3075</v>
      </c>
      <c r="G6" t="s">
        <v>3076</v>
      </c>
      <c r="H6" s="2">
        <v>0</v>
      </c>
      <c r="I6" s="2">
        <v>0</v>
      </c>
      <c r="J6" s="2">
        <v>0</v>
      </c>
      <c r="K6" s="15">
        <v>219.62</v>
      </c>
      <c r="L6" s="2">
        <v>0</v>
      </c>
      <c r="M6" s="2">
        <v>0</v>
      </c>
      <c r="N6" s="2">
        <v>0</v>
      </c>
      <c r="O6" s="2">
        <v>28.550600000000003</v>
      </c>
      <c r="P6" s="2">
        <v>248.17060000000001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K7" s="15"/>
      <c r="Q7"/>
      <c r="S7" s="2"/>
      <c r="T7" s="2"/>
      <c r="U7" s="2"/>
    </row>
    <row r="8" spans="1:21" ht="15.75" thickBot="1" x14ac:dyDescent="0.3">
      <c r="K8" s="15"/>
      <c r="Q8"/>
      <c r="S8" s="2"/>
      <c r="T8" s="2"/>
      <c r="U8" s="2"/>
    </row>
    <row r="9" spans="1:21" ht="15.75" thickBot="1" x14ac:dyDescent="0.3">
      <c r="A9" s="145" t="s">
        <v>71</v>
      </c>
      <c r="B9" s="146"/>
      <c r="C9" s="146"/>
      <c r="D9" s="146"/>
      <c r="E9" s="146"/>
      <c r="F9" s="146"/>
      <c r="G9" s="147"/>
      <c r="H9" s="3">
        <f>+SUBTOTAL(9,Tabla1[C. EXENTAS])</f>
        <v>3.58</v>
      </c>
      <c r="I9" s="3">
        <f>+SUBTOTAL(9,Tabla1[I. EXENTAS])</f>
        <v>0</v>
      </c>
      <c r="J9" s="3">
        <f>+SUBTOTAL(9,Tabla1[IMPOR EX])</f>
        <v>0</v>
      </c>
      <c r="K9" s="3">
        <f>+SUBTOTAL(9,Tabla1[C. GRAVADA])</f>
        <v>387.29</v>
      </c>
      <c r="L9" s="3">
        <f>+SUBTOTAL(9,Tabla1[INTER GRAVA])</f>
        <v>0</v>
      </c>
      <c r="M9" s="3">
        <f>+SUBTOTAL(9,Tabla1[IMPOR BIENES])</f>
        <v>0</v>
      </c>
      <c r="N9" s="3">
        <f>+SUBTOTAL(9,Tabla1[IMPOR SERV])</f>
        <v>0</v>
      </c>
      <c r="O9" s="3">
        <f>+SUBTOTAL(9,Tabla1[IVA])</f>
        <v>50.347700000000003</v>
      </c>
      <c r="P9" s="3">
        <f>+SUBTOTAL(9,Tabla1[TOTAL C.])</f>
        <v>441.21770000000004</v>
      </c>
      <c r="Q9" s="3"/>
      <c r="R9" s="3">
        <f>+SUBTOTAL(9,Tabla1[ANEXO 3])</f>
        <v>0</v>
      </c>
      <c r="S9" s="3"/>
      <c r="T9" s="3">
        <f>+SUBTOTAL(9,Tabla1[PERCEPCIONES])</f>
        <v>0</v>
      </c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114"/>
    </row>
    <row r="91" spans="21:21" x14ac:dyDescent="0.25">
      <c r="U91" s="114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1072" spans="1:20" s="42" customFormat="1" x14ac:dyDescent="0.25">
      <c r="A1072"/>
      <c r="B1072"/>
      <c r="C1072"/>
      <c r="D1072"/>
      <c r="E1072"/>
      <c r="F1072"/>
      <c r="G107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/>
      <c r="S1072"/>
      <c r="T1072"/>
    </row>
  </sheetData>
  <dataConsolidate/>
  <mergeCells count="1">
    <mergeCell ref="A9:G9"/>
  </mergeCells>
  <phoneticPr fontId="8" type="noConversion"/>
  <conditionalFormatting sqref="E1:E1048576">
    <cfRule type="duplicateValues" dxfId="120" priority="23"/>
    <cfRule type="duplicateValues" dxfId="119" priority="24"/>
  </conditionalFormatting>
  <conditionalFormatting sqref="E3:E8">
    <cfRule type="duplicateValues" dxfId="118" priority="86"/>
    <cfRule type="duplicateValues" dxfId="117" priority="87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45300</v>
      </c>
      <c r="F3" s="40"/>
      <c r="XFD3" t="s">
        <v>8486</v>
      </c>
    </row>
    <row r="4" spans="1:9 16384:16384" x14ac:dyDescent="0.25">
      <c r="B4" s="23" t="s">
        <v>3</v>
      </c>
      <c r="D4" s="73" t="s">
        <v>1</v>
      </c>
      <c r="F4" s="2"/>
      <c r="XFD4" t="s">
        <v>8487</v>
      </c>
    </row>
    <row r="5" spans="1:9 16384:16384" x14ac:dyDescent="0.25">
      <c r="B5" s="23" t="s">
        <v>4</v>
      </c>
      <c r="D5" s="73" t="s">
        <v>0</v>
      </c>
      <c r="F5" s="2"/>
      <c r="XFD5" t="s">
        <v>8488</v>
      </c>
    </row>
    <row r="6" spans="1:9 16384:16384" x14ac:dyDescent="0.25">
      <c r="B6" s="24" t="s">
        <v>28</v>
      </c>
      <c r="D6" s="74" t="s">
        <v>9019</v>
      </c>
      <c r="F6" s="2"/>
      <c r="XFD6" t="s">
        <v>8490</v>
      </c>
    </row>
    <row r="7" spans="1:9 16384:16384" x14ac:dyDescent="0.25">
      <c r="B7" s="23" t="s">
        <v>27</v>
      </c>
      <c r="D7" s="74" t="s">
        <v>9020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9013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9014</v>
      </c>
    </row>
    <row r="10" spans="1:9 16384:16384" ht="16.5" customHeight="1" x14ac:dyDescent="0.25">
      <c r="B10" s="23" t="s">
        <v>24</v>
      </c>
      <c r="D10" s="141" t="s">
        <v>9211</v>
      </c>
      <c r="F10" s="39"/>
      <c r="XFD10" t="s">
        <v>9015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PROMED DE EL SALVADOR</v>
      </c>
      <c r="F11" s="32"/>
      <c r="H11" s="1"/>
      <c r="I11" s="1"/>
      <c r="XFD11" t="s">
        <v>9016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9017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9018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tabSelected="1" zoomScale="85" zoomScaleNormal="85" workbookViewId="0">
      <selection activeCell="L22" sqref="L21:L2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8491</v>
      </c>
      <c r="B3" s="40">
        <v>45300</v>
      </c>
      <c r="C3" s="2" t="s">
        <v>1</v>
      </c>
      <c r="D3" s="2" t="s">
        <v>0</v>
      </c>
      <c r="E3" s="2" t="s">
        <v>9019</v>
      </c>
      <c r="F3" s="2" t="s">
        <v>9020</v>
      </c>
      <c r="G3" s="33">
        <v>204</v>
      </c>
      <c r="H3" s="38">
        <v>204</v>
      </c>
      <c r="I3" s="39" t="s">
        <v>9211</v>
      </c>
      <c r="J3" s="32" t="s">
        <v>9212</v>
      </c>
      <c r="K3" s="2">
        <v>0</v>
      </c>
      <c r="L3" s="2">
        <v>0</v>
      </c>
      <c r="M3" s="32">
        <v>285</v>
      </c>
      <c r="N3" s="2">
        <v>37.050000000000004</v>
      </c>
      <c r="O3" s="2">
        <v>0</v>
      </c>
      <c r="P3" s="2">
        <v>0</v>
      </c>
      <c r="Q3" s="32">
        <v>322.05</v>
      </c>
      <c r="S3" s="2" t="s">
        <v>1</v>
      </c>
    </row>
    <row r="4" spans="1:19" x14ac:dyDescent="0.25">
      <c r="A4" s="2" t="s">
        <v>8491</v>
      </c>
      <c r="B4" s="40">
        <v>45299</v>
      </c>
      <c r="C4" s="2" t="s">
        <v>1</v>
      </c>
      <c r="D4" s="2" t="s">
        <v>0</v>
      </c>
      <c r="E4" s="2" t="s">
        <v>9019</v>
      </c>
      <c r="F4" s="2" t="s">
        <v>9020</v>
      </c>
      <c r="G4" s="33">
        <v>203</v>
      </c>
      <c r="H4" s="38">
        <v>203</v>
      </c>
      <c r="I4" s="39" t="s">
        <v>9211</v>
      </c>
      <c r="J4" s="32" t="s">
        <v>9212</v>
      </c>
      <c r="K4" s="2">
        <v>0</v>
      </c>
      <c r="L4" s="2">
        <v>0</v>
      </c>
      <c r="M4" s="32">
        <v>2850</v>
      </c>
      <c r="N4" s="2">
        <v>370.5</v>
      </c>
      <c r="O4" s="2">
        <v>0</v>
      </c>
      <c r="P4" s="2">
        <v>0</v>
      </c>
      <c r="Q4" s="32">
        <v>3220.5</v>
      </c>
      <c r="S4" s="2" t="s">
        <v>1</v>
      </c>
    </row>
    <row r="5" spans="1:19" x14ac:dyDescent="0.25">
      <c r="A5" s="2"/>
      <c r="B5" s="40"/>
      <c r="C5" s="2"/>
      <c r="D5" s="2"/>
      <c r="E5" s="2"/>
      <c r="F5" s="2"/>
      <c r="G5" s="33"/>
      <c r="H5" s="38"/>
      <c r="I5" s="39"/>
      <c r="J5" s="32"/>
      <c r="M5" s="32"/>
      <c r="Q5" s="32"/>
      <c r="S5" s="2"/>
    </row>
    <row r="6" spans="1:19" ht="15.75" thickBot="1" x14ac:dyDescent="0.3">
      <c r="A6" s="2"/>
      <c r="B6" s="40"/>
      <c r="C6" s="2"/>
      <c r="D6" s="2"/>
      <c r="E6" s="2"/>
      <c r="F6" s="2"/>
      <c r="G6" s="33"/>
      <c r="H6" s="38"/>
      <c r="I6" s="39"/>
      <c r="J6" s="32"/>
      <c r="M6" s="32"/>
      <c r="Q6" s="32"/>
      <c r="S6" s="2"/>
    </row>
    <row r="7" spans="1:19" ht="15.75" thickBot="1" x14ac:dyDescent="0.3">
      <c r="A7" s="146"/>
      <c r="B7" s="146"/>
      <c r="C7" s="146"/>
      <c r="D7" s="146"/>
      <c r="E7" s="146"/>
      <c r="F7" s="146"/>
      <c r="G7" s="146"/>
      <c r="H7" s="146"/>
      <c r="I7" s="146"/>
      <c r="J7" s="147"/>
      <c r="K7" s="4">
        <f>+SUBTOTAL(9,Tabla2[VENTA EXENTA])</f>
        <v>0</v>
      </c>
      <c r="L7" s="4">
        <f>+SUBTOTAL(9,Tabla2[VENTA NO SUJETA])</f>
        <v>0</v>
      </c>
      <c r="M7" s="3">
        <f>+SUBTOTAL(9,Tabla2[V. GRAVADA])</f>
        <v>3135</v>
      </c>
      <c r="N7" s="4">
        <f>+SUBTOTAL(9,Tabla2[D.FISCAL])</f>
        <v>407.55</v>
      </c>
      <c r="O7" s="4">
        <f>+SUBTOTAL(9,Tabla2[V CTA DE 3])</f>
        <v>0</v>
      </c>
      <c r="P7" s="4">
        <f>+SUBTOTAL(9,Tabla2[D. FISCAL A 3])</f>
        <v>0</v>
      </c>
      <c r="Q7" s="4">
        <f>+SUBTOTAL(9,Tabla2[VENTA TOTAL])</f>
        <v>3542.55</v>
      </c>
      <c r="R7" s="31"/>
    </row>
    <row r="4765" spans="19:19" x14ac:dyDescent="0.25">
      <c r="S4765" s="42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47" spans="1:19" x14ac:dyDescent="0.25">
      <c r="S9747" s="2"/>
    </row>
    <row r="9748" spans="1:19" x14ac:dyDescent="0.25">
      <c r="S9748" s="2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7:J7"/>
  </mergeCells>
  <phoneticPr fontId="8" type="noConversion"/>
  <conditionalFormatting sqref="G1:G1048576">
    <cfRule type="duplicateValues" dxfId="106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8328</v>
      </c>
      <c r="XFD2" t="s">
        <v>7944</v>
      </c>
    </row>
    <row r="3" spans="2:4 16384:16384" x14ac:dyDescent="0.25">
      <c r="B3" s="67" t="s">
        <v>2</v>
      </c>
      <c r="D3" s="7" t="s">
        <v>9236</v>
      </c>
      <c r="XFD3" t="s">
        <v>7981</v>
      </c>
    </row>
    <row r="4" spans="2:4 16384:16384" x14ac:dyDescent="0.25">
      <c r="B4" s="67" t="s">
        <v>3</v>
      </c>
      <c r="D4" s="73" t="s">
        <v>1</v>
      </c>
      <c r="XFD4" t="s">
        <v>8153</v>
      </c>
    </row>
    <row r="5" spans="2:4 16384:16384" ht="14.25" customHeight="1" x14ac:dyDescent="0.25">
      <c r="B5" s="68" t="s">
        <v>4</v>
      </c>
      <c r="D5" s="73" t="s">
        <v>9224</v>
      </c>
      <c r="XFD5" t="s">
        <v>8265</v>
      </c>
    </row>
    <row r="6" spans="2:4 16384:16384" ht="14.25" customHeight="1" x14ac:dyDescent="0.25">
      <c r="B6" s="69" t="s">
        <v>69</v>
      </c>
      <c r="D6" s="74" t="s">
        <v>9225</v>
      </c>
      <c r="XFD6" t="s">
        <v>8322</v>
      </c>
    </row>
    <row r="7" spans="2:4 16384:16384" ht="14.25" customHeight="1" x14ac:dyDescent="0.25">
      <c r="B7" s="69" t="s">
        <v>68</v>
      </c>
      <c r="D7" s="74" t="s">
        <v>9226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7"/>
  <sheetViews>
    <sheetView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4" spans="1:22" ht="15.75" thickBot="1" x14ac:dyDescent="0.3"/>
    <row r="5" spans="1:22" ht="15.75" thickBot="1" x14ac:dyDescent="0.3">
      <c r="A5" s="145" t="s">
        <v>76</v>
      </c>
      <c r="B5" s="146"/>
      <c r="C5" s="146"/>
      <c r="D5" s="146"/>
      <c r="E5" s="146"/>
      <c r="F5" s="146"/>
      <c r="G5" s="146"/>
      <c r="H5" s="146"/>
      <c r="I5" s="146"/>
      <c r="J5" s="146"/>
      <c r="K5" s="147"/>
      <c r="L5" s="4">
        <f>+SUBTOTAL(9,Tabla3[V EXENTA])</f>
        <v>0</v>
      </c>
      <c r="M5" s="4">
        <f>+SUBTOTAL(9,Tabla3[VENTAS NO])</f>
        <v>0</v>
      </c>
      <c r="N5" s="4">
        <f>+SUBTOTAL(9,Tabla3[V NO SUJETAS])</f>
        <v>0</v>
      </c>
      <c r="O5" s="4">
        <f>+SUBTOTAL(9,Tabla3[V GRAVADAS])</f>
        <v>0</v>
      </c>
      <c r="P5" s="4">
        <f>+SUBTOTAL(9,Tabla3[EX IN CA])</f>
        <v>0</v>
      </c>
      <c r="Q5" s="4">
        <f>+SUBTOTAL(9,Tabla3[EX OUT CA])</f>
        <v>0</v>
      </c>
      <c r="R5" s="4">
        <f>+SUBTOTAL(9,Tabla3[EX SERVICE])</f>
        <v>0</v>
      </c>
      <c r="S5" s="4">
        <f>+SUBTOTAL(9,Tabla3[V ZONA FRAN])</f>
        <v>0</v>
      </c>
      <c r="T5" s="4">
        <f>+SUBTOTAL(9,Tabla3[V CTA A 3ERO])</f>
        <v>0</v>
      </c>
      <c r="U5" s="4">
        <f>+SUBTOTAL(9,Tabla3[TOTAL VENTA])</f>
        <v>0</v>
      </c>
    </row>
    <row r="6" spans="1:22" x14ac:dyDescent="0.25">
      <c r="O6" s="2">
        <f>O5/1.13</f>
        <v>0</v>
      </c>
    </row>
    <row r="7" spans="1:22" x14ac:dyDescent="0.25">
      <c r="O7" s="2">
        <f>O6*0.13</f>
        <v>0</v>
      </c>
    </row>
  </sheetData>
  <mergeCells count="1">
    <mergeCell ref="A5:K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8922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8922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3106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9230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8324</v>
      </c>
      <c r="B2"/>
      <c r="C2" t="s">
        <v>3106</v>
      </c>
      <c r="D2" s="13">
        <v>45087</v>
      </c>
      <c r="E2" t="s">
        <v>8264</v>
      </c>
      <c r="F2" t="s">
        <v>9230</v>
      </c>
      <c r="G2" t="s">
        <v>9231</v>
      </c>
      <c r="H2" s="2">
        <v>2580</v>
      </c>
      <c r="I2" s="2">
        <v>25.8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5"/>
      <c r="I3" s="2"/>
      <c r="J3" s="81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2580</v>
      </c>
      <c r="I4" s="36">
        <f>SUBTOTAL(109,Tabla6[Monto Retención 1%])</f>
        <v>25.8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40"/>
  <sheetViews>
    <sheetView topLeftCell="A4519" workbookViewId="0">
      <selection activeCell="A4541" sqref="A454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8798</v>
      </c>
      <c r="B427" t="s">
        <v>8799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8800</v>
      </c>
      <c r="B429" t="s">
        <v>8801</v>
      </c>
    </row>
    <row r="430" spans="1:2" x14ac:dyDescent="0.25">
      <c r="A430" s="1" t="s">
        <v>8626</v>
      </c>
      <c r="B430" t="s">
        <v>8802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8848</v>
      </c>
      <c r="B536" t="s">
        <v>8849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1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3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8803</v>
      </c>
      <c r="B4332" t="s">
        <v>8804</v>
      </c>
    </row>
    <row r="4333" spans="1:2" x14ac:dyDescent="0.25">
      <c r="A4333" s="14" t="s">
        <v>8805</v>
      </c>
      <c r="B4333" t="s">
        <v>8806</v>
      </c>
    </row>
    <row r="4334" spans="1:2" x14ac:dyDescent="0.25">
      <c r="A4334" s="14" t="s">
        <v>8807</v>
      </c>
      <c r="B4334" t="s">
        <v>8808</v>
      </c>
    </row>
    <row r="4335" spans="1:2" x14ac:dyDescent="0.25">
      <c r="A4335" s="14" t="s">
        <v>8809</v>
      </c>
      <c r="B4335" t="s">
        <v>8810</v>
      </c>
    </row>
    <row r="4336" spans="1:2" x14ac:dyDescent="0.25">
      <c r="A4336" s="14" t="s">
        <v>8811</v>
      </c>
      <c r="B4336" t="s">
        <v>8812</v>
      </c>
    </row>
    <row r="4337" spans="1:2" x14ac:dyDescent="0.25">
      <c r="A4337" s="14" t="s">
        <v>8813</v>
      </c>
      <c r="B4337" t="s">
        <v>8814</v>
      </c>
    </row>
    <row r="4338" spans="1:2" x14ac:dyDescent="0.25">
      <c r="A4338" s="14" t="s">
        <v>8815</v>
      </c>
      <c r="B4338" t="s">
        <v>8816</v>
      </c>
    </row>
    <row r="4339" spans="1:2" x14ac:dyDescent="0.25">
      <c r="A4339" s="14" t="s">
        <v>8817</v>
      </c>
      <c r="B4339" t="s">
        <v>8818</v>
      </c>
    </row>
    <row r="4340" spans="1:2" x14ac:dyDescent="0.25">
      <c r="A4340" s="14" t="s">
        <v>8819</v>
      </c>
      <c r="B4340" t="s">
        <v>8820</v>
      </c>
    </row>
    <row r="4341" spans="1:2" x14ac:dyDescent="0.25">
      <c r="A4341" s="1" t="s">
        <v>8821</v>
      </c>
      <c r="B4341" t="s">
        <v>8822</v>
      </c>
    </row>
    <row r="4342" spans="1:2" x14ac:dyDescent="0.25">
      <c r="A4342" s="1" t="s">
        <v>8823</v>
      </c>
      <c r="B4342" t="s">
        <v>8824</v>
      </c>
    </row>
    <row r="4343" spans="1:2" x14ac:dyDescent="0.25">
      <c r="A4343" s="1" t="s">
        <v>8825</v>
      </c>
      <c r="B4343" t="s">
        <v>8826</v>
      </c>
    </row>
    <row r="4344" spans="1:2" x14ac:dyDescent="0.25">
      <c r="A4344" s="22" t="s">
        <v>8851</v>
      </c>
      <c r="B4344" t="s">
        <v>8852</v>
      </c>
    </row>
    <row r="4345" spans="1:2" x14ac:dyDescent="0.25">
      <c r="A4345" s="1" t="s">
        <v>8853</v>
      </c>
      <c r="B4345" t="s">
        <v>8854</v>
      </c>
    </row>
    <row r="4346" spans="1:2" x14ac:dyDescent="0.25">
      <c r="A4346" s="1" t="s">
        <v>8855</v>
      </c>
      <c r="B4346" t="s">
        <v>8856</v>
      </c>
    </row>
    <row r="4347" spans="1:2" x14ac:dyDescent="0.25">
      <c r="A4347" s="1" t="s">
        <v>8857</v>
      </c>
      <c r="B4347" t="s">
        <v>8858</v>
      </c>
    </row>
    <row r="4348" spans="1:2" x14ac:dyDescent="0.25">
      <c r="A4348" s="1" t="s">
        <v>8859</v>
      </c>
      <c r="B4348" t="s">
        <v>8860</v>
      </c>
    </row>
    <row r="4349" spans="1:2" x14ac:dyDescent="0.25">
      <c r="A4349" s="1" t="s">
        <v>8863</v>
      </c>
      <c r="B4349" t="s">
        <v>8864</v>
      </c>
    </row>
    <row r="4350" spans="1:2" x14ac:dyDescent="0.25">
      <c r="A4350" s="1" t="s">
        <v>8865</v>
      </c>
      <c r="B4350" t="s">
        <v>8866</v>
      </c>
    </row>
    <row r="4351" spans="1:2" x14ac:dyDescent="0.25">
      <c r="A4351" s="1" t="s">
        <v>8868</v>
      </c>
      <c r="B4351" t="s">
        <v>8869</v>
      </c>
    </row>
    <row r="4352" spans="1:2" x14ac:dyDescent="0.25">
      <c r="A4352" s="1" t="s">
        <v>8871</v>
      </c>
      <c r="B4352" t="s">
        <v>8872</v>
      </c>
    </row>
    <row r="4353" spans="1:2" x14ac:dyDescent="0.25">
      <c r="A4353" s="1" t="s">
        <v>8873</v>
      </c>
      <c r="B4353" t="s">
        <v>8874</v>
      </c>
    </row>
    <row r="4354" spans="1:2" x14ac:dyDescent="0.25">
      <c r="A4354" s="1" t="s">
        <v>8875</v>
      </c>
      <c r="B4354" t="s">
        <v>8876</v>
      </c>
    </row>
    <row r="4355" spans="1:2" x14ac:dyDescent="0.25">
      <c r="A4355" s="1" t="s">
        <v>8884</v>
      </c>
      <c r="B4355" t="s">
        <v>8885</v>
      </c>
    </row>
    <row r="4356" spans="1:2" x14ac:dyDescent="0.25">
      <c r="A4356" s="1" t="s">
        <v>8886</v>
      </c>
      <c r="B4356" t="s">
        <v>8887</v>
      </c>
    </row>
    <row r="4357" spans="1:2" x14ac:dyDescent="0.25">
      <c r="A4357" s="1" t="s">
        <v>8888</v>
      </c>
      <c r="B4357" t="s">
        <v>8889</v>
      </c>
    </row>
    <row r="4358" spans="1:2" x14ac:dyDescent="0.25">
      <c r="A4358" s="1" t="s">
        <v>8890</v>
      </c>
      <c r="B4358" t="s">
        <v>8891</v>
      </c>
    </row>
    <row r="4359" spans="1:2" x14ac:dyDescent="0.25">
      <c r="A4359" s="1" t="s">
        <v>8892</v>
      </c>
      <c r="B4359" t="s">
        <v>8893</v>
      </c>
    </row>
    <row r="4360" spans="1:2" x14ac:dyDescent="0.25">
      <c r="A4360" s="1" t="s">
        <v>8894</v>
      </c>
      <c r="B4360" t="s">
        <v>8895</v>
      </c>
    </row>
    <row r="4361" spans="1:2" x14ac:dyDescent="0.25">
      <c r="A4361" s="1" t="s">
        <v>8896</v>
      </c>
      <c r="B4361" t="s">
        <v>8897</v>
      </c>
    </row>
    <row r="4362" spans="1:2" x14ac:dyDescent="0.25">
      <c r="A4362" s="1" t="s">
        <v>8898</v>
      </c>
      <c r="B4362" t="s">
        <v>8899</v>
      </c>
    </row>
    <row r="4363" spans="1:2" x14ac:dyDescent="0.25">
      <c r="A4363" s="1" t="s">
        <v>8900</v>
      </c>
      <c r="B4363" t="s">
        <v>8901</v>
      </c>
    </row>
    <row r="4364" spans="1:2" x14ac:dyDescent="0.25">
      <c r="A4364" s="1" t="s">
        <v>8902</v>
      </c>
      <c r="B4364" t="s">
        <v>8903</v>
      </c>
    </row>
    <row r="4365" spans="1:2" x14ac:dyDescent="0.25">
      <c r="A4365" s="1" t="s">
        <v>8904</v>
      </c>
      <c r="B4365" t="s">
        <v>8905</v>
      </c>
    </row>
    <row r="4366" spans="1:2" x14ac:dyDescent="0.25">
      <c r="A4366" s="1" t="s">
        <v>8906</v>
      </c>
      <c r="B4366" t="s">
        <v>8907</v>
      </c>
    </row>
    <row r="4367" spans="1:2" x14ac:dyDescent="0.25">
      <c r="A4367" s="122" t="s">
        <v>8908</v>
      </c>
      <c r="B4367" t="s">
        <v>8909</v>
      </c>
    </row>
    <row r="4368" spans="1:2" x14ac:dyDescent="0.25">
      <c r="A4368" s="1" t="s">
        <v>8924</v>
      </c>
      <c r="B4368" t="s">
        <v>8925</v>
      </c>
    </row>
    <row r="4369" spans="1:2" x14ac:dyDescent="0.25">
      <c r="A4369" s="1" t="s">
        <v>8926</v>
      </c>
      <c r="B4369" t="s">
        <v>8927</v>
      </c>
    </row>
    <row r="4370" spans="1:2" x14ac:dyDescent="0.25">
      <c r="A4370" s="1" t="s">
        <v>8928</v>
      </c>
      <c r="B4370" t="s">
        <v>1301</v>
      </c>
    </row>
    <row r="4371" spans="1:2" x14ac:dyDescent="0.25">
      <c r="A4371" s="1" t="s">
        <v>8929</v>
      </c>
      <c r="B4371" t="s">
        <v>8930</v>
      </c>
    </row>
    <row r="4372" spans="1:2" x14ac:dyDescent="0.25">
      <c r="A4372" s="1" t="s">
        <v>8931</v>
      </c>
      <c r="B4372" t="s">
        <v>8932</v>
      </c>
    </row>
    <row r="4373" spans="1:2" x14ac:dyDescent="0.25">
      <c r="A4373" s="1" t="s">
        <v>8934</v>
      </c>
      <c r="B4373" t="s">
        <v>8935</v>
      </c>
    </row>
    <row r="4374" spans="1:2" x14ac:dyDescent="0.25">
      <c r="A4374" s="1" t="s">
        <v>8936</v>
      </c>
      <c r="B4374" t="s">
        <v>7936</v>
      </c>
    </row>
    <row r="4375" spans="1:2" x14ac:dyDescent="0.25">
      <c r="A4375" s="1" t="s">
        <v>8939</v>
      </c>
      <c r="B4375" t="s">
        <v>7936</v>
      </c>
    </row>
    <row r="4376" spans="1:2" x14ac:dyDescent="0.25">
      <c r="A4376" s="1" t="s">
        <v>8940</v>
      </c>
      <c r="B4376" t="s">
        <v>8941</v>
      </c>
    </row>
    <row r="4377" spans="1:2" x14ac:dyDescent="0.25">
      <c r="A4377" s="1" t="s">
        <v>8944</v>
      </c>
      <c r="B4377" t="s">
        <v>8945</v>
      </c>
    </row>
    <row r="4378" spans="1:2" x14ac:dyDescent="0.25">
      <c r="A4378" s="22" t="s">
        <v>8949</v>
      </c>
      <c r="B4378" t="s">
        <v>8950</v>
      </c>
    </row>
    <row r="4379" spans="1:2" x14ac:dyDescent="0.25">
      <c r="A4379" s="1" t="s">
        <v>8951</v>
      </c>
      <c r="B4379" t="s">
        <v>8952</v>
      </c>
    </row>
    <row r="4380" spans="1:2" x14ac:dyDescent="0.25">
      <c r="A4380" s="1" t="s">
        <v>8953</v>
      </c>
      <c r="B4380" t="s">
        <v>8954</v>
      </c>
    </row>
    <row r="4381" spans="1:2" x14ac:dyDescent="0.25">
      <c r="A4381" s="1" t="s">
        <v>8955</v>
      </c>
      <c r="B4381" t="s">
        <v>8956</v>
      </c>
    </row>
    <row r="4382" spans="1:2" x14ac:dyDescent="0.25">
      <c r="A4382" s="1" t="s">
        <v>8957</v>
      </c>
      <c r="B4382" t="s">
        <v>8958</v>
      </c>
    </row>
    <row r="4383" spans="1:2" x14ac:dyDescent="0.25">
      <c r="A4383" s="1" t="s">
        <v>8161</v>
      </c>
      <c r="B4383" t="s">
        <v>8959</v>
      </c>
    </row>
    <row r="4384" spans="1:2" x14ac:dyDescent="0.25">
      <c r="A4384" s="1" t="s">
        <v>8960</v>
      </c>
      <c r="B4384" t="s">
        <v>8961</v>
      </c>
    </row>
    <row r="4385" spans="1:2" x14ac:dyDescent="0.25">
      <c r="A4385" s="1" t="s">
        <v>8962</v>
      </c>
      <c r="B4385" t="s">
        <v>8963</v>
      </c>
    </row>
    <row r="4386" spans="1:2" x14ac:dyDescent="0.25">
      <c r="A4386" s="1" t="s">
        <v>8964</v>
      </c>
      <c r="B4386" t="s">
        <v>8965</v>
      </c>
    </row>
    <row r="4387" spans="1:2" x14ac:dyDescent="0.25">
      <c r="A4387" s="1" t="s">
        <v>8966</v>
      </c>
      <c r="B4387" t="s">
        <v>8967</v>
      </c>
    </row>
    <row r="4388" spans="1:2" x14ac:dyDescent="0.25">
      <c r="A4388" s="22" t="s">
        <v>8969</v>
      </c>
      <c r="B4388" t="s">
        <v>8970</v>
      </c>
    </row>
    <row r="4389" spans="1:2" x14ac:dyDescent="0.25">
      <c r="A4389" s="22" t="s">
        <v>8971</v>
      </c>
      <c r="B4389" t="s">
        <v>8972</v>
      </c>
    </row>
    <row r="4390" spans="1:2" x14ac:dyDescent="0.25">
      <c r="A4390" s="1" t="s">
        <v>8973</v>
      </c>
      <c r="B4390" t="s">
        <v>8974</v>
      </c>
    </row>
    <row r="4391" spans="1:2" x14ac:dyDescent="0.25">
      <c r="A4391" s="1" t="s">
        <v>8968</v>
      </c>
      <c r="B4391" t="s">
        <v>8975</v>
      </c>
    </row>
    <row r="4392" spans="1:2" x14ac:dyDescent="0.25">
      <c r="A4392" s="1" t="s">
        <v>8976</v>
      </c>
      <c r="B4392" t="s">
        <v>8977</v>
      </c>
    </row>
    <row r="4393" spans="1:2" x14ac:dyDescent="0.25">
      <c r="A4393" s="1" t="s">
        <v>8978</v>
      </c>
      <c r="B4393" t="s">
        <v>8979</v>
      </c>
    </row>
    <row r="4394" spans="1:2" x14ac:dyDescent="0.25">
      <c r="A4394" s="1" t="s">
        <v>8980</v>
      </c>
      <c r="B4394" t="s">
        <v>8981</v>
      </c>
    </row>
    <row r="4395" spans="1:2" x14ac:dyDescent="0.25">
      <c r="A4395" s="1" t="s">
        <v>8982</v>
      </c>
      <c r="B4395" t="s">
        <v>8983</v>
      </c>
    </row>
    <row r="4396" spans="1:2" x14ac:dyDescent="0.25">
      <c r="A4396" s="1" t="s">
        <v>8984</v>
      </c>
      <c r="B4396" t="s">
        <v>8985</v>
      </c>
    </row>
    <row r="4397" spans="1:2" x14ac:dyDescent="0.25">
      <c r="A4397" s="1" t="s">
        <v>8986</v>
      </c>
      <c r="B4397" t="s">
        <v>197</v>
      </c>
    </row>
    <row r="4398" spans="1:2" x14ac:dyDescent="0.25">
      <c r="A4398" s="1" t="s">
        <v>8987</v>
      </c>
      <c r="B4398" t="s">
        <v>8988</v>
      </c>
    </row>
    <row r="4399" spans="1:2" x14ac:dyDescent="0.25">
      <c r="A4399" s="1" t="s">
        <v>8989</v>
      </c>
      <c r="B4399" t="s">
        <v>8990</v>
      </c>
    </row>
    <row r="4400" spans="1:2" x14ac:dyDescent="0.25">
      <c r="A4400" s="1" t="s">
        <v>8991</v>
      </c>
      <c r="B4400" t="s">
        <v>8992</v>
      </c>
    </row>
    <row r="4401" spans="1:2" x14ac:dyDescent="0.25">
      <c r="A4401" s="1" t="s">
        <v>8993</v>
      </c>
      <c r="B4401" t="s">
        <v>8994</v>
      </c>
    </row>
    <row r="4402" spans="1:2" x14ac:dyDescent="0.25">
      <c r="A4402" s="1" t="s">
        <v>8995</v>
      </c>
      <c r="B4402" t="s">
        <v>8996</v>
      </c>
    </row>
    <row r="4403" spans="1:2" x14ac:dyDescent="0.25">
      <c r="A4403" s="1" t="s">
        <v>8997</v>
      </c>
      <c r="B4403" t="s">
        <v>8998</v>
      </c>
    </row>
    <row r="4404" spans="1:2" x14ac:dyDescent="0.25">
      <c r="A4404" s="1" t="s">
        <v>8999</v>
      </c>
      <c r="B4404" t="s">
        <v>9000</v>
      </c>
    </row>
    <row r="4405" spans="1:2" x14ac:dyDescent="0.25">
      <c r="A4405" s="1" t="s">
        <v>9001</v>
      </c>
      <c r="B4405" t="s">
        <v>6526</v>
      </c>
    </row>
    <row r="4406" spans="1:2" x14ac:dyDescent="0.25">
      <c r="A4406" s="1" t="s">
        <v>9002</v>
      </c>
      <c r="B4406" t="s">
        <v>9003</v>
      </c>
    </row>
    <row r="4407" spans="1:2" x14ac:dyDescent="0.25">
      <c r="A4407" s="1" t="s">
        <v>9004</v>
      </c>
      <c r="B4407" t="s">
        <v>9005</v>
      </c>
    </row>
    <row r="4408" spans="1:2" x14ac:dyDescent="0.25">
      <c r="A4408" s="1" t="s">
        <v>9006</v>
      </c>
      <c r="B4408" t="s">
        <v>1447</v>
      </c>
    </row>
    <row r="4409" spans="1:2" x14ac:dyDescent="0.25">
      <c r="A4409" s="1" t="s">
        <v>9007</v>
      </c>
      <c r="B4409" t="s">
        <v>9008</v>
      </c>
    </row>
    <row r="4410" spans="1:2" x14ac:dyDescent="0.25">
      <c r="A4410" s="1" t="s">
        <v>9009</v>
      </c>
      <c r="B4410" t="s">
        <v>9010</v>
      </c>
    </row>
    <row r="4411" spans="1:2" x14ac:dyDescent="0.25">
      <c r="A4411" s="1" t="s">
        <v>9011</v>
      </c>
      <c r="B4411" t="s">
        <v>9012</v>
      </c>
    </row>
    <row r="4412" spans="1:2" x14ac:dyDescent="0.25">
      <c r="A4412" s="1" t="s">
        <v>9022</v>
      </c>
      <c r="B4412" t="s">
        <v>9021</v>
      </c>
    </row>
    <row r="4413" spans="1:2" x14ac:dyDescent="0.25">
      <c r="A4413" s="1" t="s">
        <v>9024</v>
      </c>
      <c r="B4413" t="s">
        <v>9023</v>
      </c>
    </row>
    <row r="4414" spans="1:2" x14ac:dyDescent="0.25">
      <c r="A4414" s="1" t="s">
        <v>9025</v>
      </c>
      <c r="B4414" t="s">
        <v>9037</v>
      </c>
    </row>
    <row r="4415" spans="1:2" x14ac:dyDescent="0.25">
      <c r="A4415" s="1" t="s">
        <v>9026</v>
      </c>
      <c r="B4415" t="s">
        <v>9038</v>
      </c>
    </row>
    <row r="4416" spans="1:2" x14ac:dyDescent="0.25">
      <c r="A4416" s="1" t="s">
        <v>9027</v>
      </c>
      <c r="B4416" t="s">
        <v>9039</v>
      </c>
    </row>
    <row r="4417" spans="1:2" x14ac:dyDescent="0.25">
      <c r="A4417" s="1" t="s">
        <v>9028</v>
      </c>
      <c r="B4417" t="s">
        <v>9040</v>
      </c>
    </row>
    <row r="4418" spans="1:2" x14ac:dyDescent="0.25">
      <c r="A4418" s="1" t="s">
        <v>9029</v>
      </c>
      <c r="B4418" t="s">
        <v>9041</v>
      </c>
    </row>
    <row r="4419" spans="1:2" x14ac:dyDescent="0.25">
      <c r="A4419" s="1" t="s">
        <v>9030</v>
      </c>
      <c r="B4419" t="s">
        <v>9042</v>
      </c>
    </row>
    <row r="4420" spans="1:2" x14ac:dyDescent="0.25">
      <c r="A4420" s="1" t="s">
        <v>9031</v>
      </c>
      <c r="B4420" t="s">
        <v>9043</v>
      </c>
    </row>
    <row r="4421" spans="1:2" x14ac:dyDescent="0.25">
      <c r="A4421" s="1" t="s">
        <v>9032</v>
      </c>
      <c r="B4421" t="s">
        <v>9044</v>
      </c>
    </row>
    <row r="4422" spans="1:2" x14ac:dyDescent="0.25">
      <c r="A4422" s="1" t="s">
        <v>9033</v>
      </c>
      <c r="B4422" t="s">
        <v>9045</v>
      </c>
    </row>
    <row r="4423" spans="1:2" x14ac:dyDescent="0.25">
      <c r="A4423" s="1" t="s">
        <v>9034</v>
      </c>
      <c r="B4423" t="s">
        <v>9046</v>
      </c>
    </row>
    <row r="4424" spans="1:2" x14ac:dyDescent="0.25">
      <c r="A4424" s="1" t="s">
        <v>9035</v>
      </c>
      <c r="B4424" t="s">
        <v>9047</v>
      </c>
    </row>
    <row r="4425" spans="1:2" x14ac:dyDescent="0.25">
      <c r="A4425" s="1" t="s">
        <v>9036</v>
      </c>
      <c r="B4425" t="s">
        <v>9048</v>
      </c>
    </row>
    <row r="4426" spans="1:2" x14ac:dyDescent="0.25">
      <c r="A4426" s="1" t="s">
        <v>9049</v>
      </c>
      <c r="B4426" t="s">
        <v>9050</v>
      </c>
    </row>
    <row r="4427" spans="1:2" x14ac:dyDescent="0.25">
      <c r="A4427" s="1" t="s">
        <v>9051</v>
      </c>
      <c r="B4427" t="s">
        <v>9052</v>
      </c>
    </row>
    <row r="4428" spans="1:2" x14ac:dyDescent="0.25">
      <c r="A4428" s="1" t="s">
        <v>9053</v>
      </c>
      <c r="B4428" t="s">
        <v>9054</v>
      </c>
    </row>
    <row r="4429" spans="1:2" x14ac:dyDescent="0.25">
      <c r="A4429" s="1" t="s">
        <v>9055</v>
      </c>
      <c r="B4429" t="s">
        <v>9056</v>
      </c>
    </row>
    <row r="4430" spans="1:2" x14ac:dyDescent="0.25">
      <c r="A4430" s="1" t="s">
        <v>9057</v>
      </c>
      <c r="B4430" t="s">
        <v>9058</v>
      </c>
    </row>
    <row r="4431" spans="1:2" x14ac:dyDescent="0.25">
      <c r="A4431" s="1" t="s">
        <v>9059</v>
      </c>
      <c r="B4431" t="s">
        <v>9060</v>
      </c>
    </row>
    <row r="4432" spans="1:2" x14ac:dyDescent="0.25">
      <c r="A4432" s="1" t="s">
        <v>9061</v>
      </c>
      <c r="B4432" t="s">
        <v>9062</v>
      </c>
    </row>
    <row r="4433" spans="1:2" x14ac:dyDescent="0.25">
      <c r="A4433" s="1" t="s">
        <v>9063</v>
      </c>
      <c r="B4433" t="s">
        <v>9064</v>
      </c>
    </row>
    <row r="4434" spans="1:2" x14ac:dyDescent="0.25">
      <c r="A4434" s="1" t="s">
        <v>9065</v>
      </c>
      <c r="B4434" t="s">
        <v>9066</v>
      </c>
    </row>
    <row r="4435" spans="1:2" x14ac:dyDescent="0.25">
      <c r="A4435" s="1" t="s">
        <v>9067</v>
      </c>
      <c r="B4435" t="s">
        <v>9068</v>
      </c>
    </row>
    <row r="4436" spans="1:2" x14ac:dyDescent="0.25">
      <c r="A4436" s="1" t="s">
        <v>9069</v>
      </c>
      <c r="B4436" t="s">
        <v>9070</v>
      </c>
    </row>
    <row r="4437" spans="1:2" x14ac:dyDescent="0.25">
      <c r="A4437" s="1" t="s">
        <v>52</v>
      </c>
      <c r="B4437" t="s">
        <v>9071</v>
      </c>
    </row>
    <row r="4438" spans="1:2" x14ac:dyDescent="0.25">
      <c r="A4438" s="1" t="s">
        <v>9072</v>
      </c>
      <c r="B4438" t="s">
        <v>9073</v>
      </c>
    </row>
    <row r="4439" spans="1:2" x14ac:dyDescent="0.25">
      <c r="A4439" s="1" t="s">
        <v>9074</v>
      </c>
      <c r="B4439" t="s">
        <v>9075</v>
      </c>
    </row>
    <row r="4440" spans="1:2" x14ac:dyDescent="0.25">
      <c r="A4440" s="1" t="s">
        <v>9076</v>
      </c>
      <c r="B4440" t="s">
        <v>9077</v>
      </c>
    </row>
    <row r="4441" spans="1:2" x14ac:dyDescent="0.25">
      <c r="A4441" s="1" t="s">
        <v>9078</v>
      </c>
      <c r="B4441" t="s">
        <v>9079</v>
      </c>
    </row>
    <row r="4442" spans="1:2" x14ac:dyDescent="0.25">
      <c r="A4442" s="1" t="s">
        <v>9080</v>
      </c>
      <c r="B4442" t="s">
        <v>9081</v>
      </c>
    </row>
    <row r="4443" spans="1:2" x14ac:dyDescent="0.25">
      <c r="A4443" s="1" t="s">
        <v>9082</v>
      </c>
      <c r="B4443" t="s">
        <v>9083</v>
      </c>
    </row>
    <row r="4444" spans="1:2" x14ac:dyDescent="0.25">
      <c r="A4444" s="1" t="s">
        <v>49</v>
      </c>
      <c r="B4444" t="s">
        <v>9084</v>
      </c>
    </row>
    <row r="4445" spans="1:2" x14ac:dyDescent="0.25">
      <c r="A4445" s="1" t="s">
        <v>9085</v>
      </c>
      <c r="B4445" t="s">
        <v>9086</v>
      </c>
    </row>
    <row r="4446" spans="1:2" x14ac:dyDescent="0.25">
      <c r="A4446" s="1" t="s">
        <v>9087</v>
      </c>
      <c r="B4446" t="s">
        <v>9088</v>
      </c>
    </row>
    <row r="4447" spans="1:2" x14ac:dyDescent="0.25">
      <c r="A4447" s="1" t="s">
        <v>48</v>
      </c>
      <c r="B4447" t="s">
        <v>9089</v>
      </c>
    </row>
    <row r="4448" spans="1:2" x14ac:dyDescent="0.25">
      <c r="A4448" s="1" t="s">
        <v>9090</v>
      </c>
      <c r="B4448" t="s">
        <v>9091</v>
      </c>
    </row>
    <row r="4449" spans="1:2" x14ac:dyDescent="0.25">
      <c r="A4449" s="1" t="s">
        <v>7810</v>
      </c>
      <c r="B4449" t="s">
        <v>9092</v>
      </c>
    </row>
    <row r="4450" spans="1:2" x14ac:dyDescent="0.25">
      <c r="A4450" s="1" t="s">
        <v>47</v>
      </c>
      <c r="B4450" t="s">
        <v>9093</v>
      </c>
    </row>
    <row r="4451" spans="1:2" x14ac:dyDescent="0.25">
      <c r="A4451" s="1" t="s">
        <v>9094</v>
      </c>
      <c r="B4451" t="s">
        <v>9095</v>
      </c>
    </row>
    <row r="4452" spans="1:2" x14ac:dyDescent="0.25">
      <c r="A4452" s="1" t="s">
        <v>46</v>
      </c>
      <c r="B4452" t="s">
        <v>9096</v>
      </c>
    </row>
    <row r="4453" spans="1:2" x14ac:dyDescent="0.25">
      <c r="A4453" s="1" t="s">
        <v>9097</v>
      </c>
      <c r="B4453" t="s">
        <v>9098</v>
      </c>
    </row>
    <row r="4454" spans="1:2" x14ac:dyDescent="0.25">
      <c r="A4454" s="1" t="s">
        <v>9099</v>
      </c>
      <c r="B4454" t="s">
        <v>9100</v>
      </c>
    </row>
    <row r="4455" spans="1:2" x14ac:dyDescent="0.25">
      <c r="A4455" s="1" t="s">
        <v>9101</v>
      </c>
      <c r="B4455" t="s">
        <v>9102</v>
      </c>
    </row>
    <row r="4456" spans="1:2" x14ac:dyDescent="0.25">
      <c r="A4456" s="1" t="s">
        <v>9103</v>
      </c>
      <c r="B4456" t="s">
        <v>9104</v>
      </c>
    </row>
    <row r="4457" spans="1:2" x14ac:dyDescent="0.25">
      <c r="A4457" s="1" t="s">
        <v>9105</v>
      </c>
      <c r="B4457" t="s">
        <v>9106</v>
      </c>
    </row>
    <row r="4458" spans="1:2" x14ac:dyDescent="0.25">
      <c r="A4458" s="1" t="s">
        <v>9107</v>
      </c>
      <c r="B4458" t="s">
        <v>9108</v>
      </c>
    </row>
    <row r="4459" spans="1:2" x14ac:dyDescent="0.25">
      <c r="A4459" s="1" t="s">
        <v>9109</v>
      </c>
      <c r="B4459" t="s">
        <v>9110</v>
      </c>
    </row>
    <row r="4460" spans="1:2" x14ac:dyDescent="0.25">
      <c r="A4460" s="1" t="s">
        <v>45</v>
      </c>
      <c r="B4460" t="s">
        <v>9111</v>
      </c>
    </row>
    <row r="4461" spans="1:2" x14ac:dyDescent="0.25">
      <c r="A4461" s="1" t="s">
        <v>9112</v>
      </c>
      <c r="B4461" t="s">
        <v>9113</v>
      </c>
    </row>
    <row r="4462" spans="1:2" x14ac:dyDescent="0.25">
      <c r="A4462" s="1" t="s">
        <v>44</v>
      </c>
      <c r="B4462" t="s">
        <v>9114</v>
      </c>
    </row>
    <row r="4463" spans="1:2" x14ac:dyDescent="0.25">
      <c r="A4463" s="1" t="s">
        <v>9115</v>
      </c>
      <c r="B4463" t="s">
        <v>9116</v>
      </c>
    </row>
    <row r="4464" spans="1:2" x14ac:dyDescent="0.25">
      <c r="A4464" s="1" t="s">
        <v>9117</v>
      </c>
      <c r="B4464" t="s">
        <v>9118</v>
      </c>
    </row>
    <row r="4465" spans="1:5" x14ac:dyDescent="0.25">
      <c r="A4465" s="1" t="s">
        <v>9119</v>
      </c>
      <c r="B4465" t="s">
        <v>9120</v>
      </c>
    </row>
    <row r="4466" spans="1:5" x14ac:dyDescent="0.25">
      <c r="A4466" s="1" t="s">
        <v>43</v>
      </c>
      <c r="B4466" t="s">
        <v>9121</v>
      </c>
    </row>
    <row r="4467" spans="1:5" x14ac:dyDescent="0.25">
      <c r="A4467" s="1" t="s">
        <v>9122</v>
      </c>
      <c r="B4467" t="s">
        <v>9123</v>
      </c>
    </row>
    <row r="4468" spans="1:5" x14ac:dyDescent="0.25">
      <c r="A4468" s="1" t="s">
        <v>9124</v>
      </c>
      <c r="B4468" t="s">
        <v>9125</v>
      </c>
    </row>
    <row r="4469" spans="1:5" x14ac:dyDescent="0.25">
      <c r="A4469" s="1" t="s">
        <v>42</v>
      </c>
      <c r="B4469" t="s">
        <v>9126</v>
      </c>
    </row>
    <row r="4470" spans="1:5" x14ac:dyDescent="0.25">
      <c r="A4470" s="1" t="s">
        <v>9127</v>
      </c>
      <c r="B4470" t="s">
        <v>9128</v>
      </c>
    </row>
    <row r="4471" spans="1:5" x14ac:dyDescent="0.25">
      <c r="A4471" s="1" t="s">
        <v>9129</v>
      </c>
      <c r="B4471" t="s">
        <v>41</v>
      </c>
    </row>
    <row r="4472" spans="1:5" x14ac:dyDescent="0.25">
      <c r="A4472" s="1" t="s">
        <v>9130</v>
      </c>
      <c r="B4472" t="s">
        <v>9131</v>
      </c>
    </row>
    <row r="4473" spans="1:5" x14ac:dyDescent="0.25">
      <c r="A4473" s="1" t="s">
        <v>40</v>
      </c>
      <c r="B4473" t="s">
        <v>9132</v>
      </c>
    </row>
    <row r="4474" spans="1:5" x14ac:dyDescent="0.25">
      <c r="A4474" s="1" t="s">
        <v>39</v>
      </c>
      <c r="B4474" t="s">
        <v>9133</v>
      </c>
      <c r="E4474">
        <v>288.04000000000002</v>
      </c>
    </row>
    <row r="4475" spans="1:5" x14ac:dyDescent="0.25">
      <c r="A4475" s="1" t="s">
        <v>38</v>
      </c>
      <c r="B4475" t="s">
        <v>9134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9135</v>
      </c>
      <c r="C4476">
        <v>1946.16</v>
      </c>
      <c r="E4476">
        <v>191.61</v>
      </c>
    </row>
    <row r="4477" spans="1:5" x14ac:dyDescent="0.25">
      <c r="A4477" s="1" t="s">
        <v>9136</v>
      </c>
      <c r="B4477" t="s">
        <v>9137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9138</v>
      </c>
      <c r="E4478">
        <v>393.22</v>
      </c>
    </row>
    <row r="4479" spans="1:5" x14ac:dyDescent="0.25">
      <c r="A4479" s="1" t="s">
        <v>35</v>
      </c>
      <c r="B4479" t="s">
        <v>9139</v>
      </c>
      <c r="E4479">
        <f>SUM(E4474:E4478)</f>
        <v>1946.16</v>
      </c>
    </row>
    <row r="4480" spans="1:5" x14ac:dyDescent="0.25">
      <c r="A4480" s="1" t="s">
        <v>34</v>
      </c>
      <c r="B4480" t="s">
        <v>9140</v>
      </c>
    </row>
    <row r="4481" spans="1:2" x14ac:dyDescent="0.25">
      <c r="A4481" s="1" t="s">
        <v>9141</v>
      </c>
      <c r="B4481" t="s">
        <v>9142</v>
      </c>
    </row>
    <row r="4482" spans="1:2" x14ac:dyDescent="0.25">
      <c r="A4482" s="1" t="s">
        <v>33</v>
      </c>
      <c r="B4482" t="s">
        <v>9143</v>
      </c>
    </row>
    <row r="4483" spans="1:2" x14ac:dyDescent="0.25">
      <c r="A4483" s="1" t="s">
        <v>32</v>
      </c>
      <c r="B4483" t="s">
        <v>9144</v>
      </c>
    </row>
    <row r="4484" spans="1:2" x14ac:dyDescent="0.25">
      <c r="A4484" s="1" t="s">
        <v>9145</v>
      </c>
      <c r="B4484" t="s">
        <v>9146</v>
      </c>
    </row>
    <row r="4485" spans="1:2" x14ac:dyDescent="0.25">
      <c r="A4485" s="1" t="s">
        <v>31</v>
      </c>
      <c r="B4485" t="s">
        <v>9147</v>
      </c>
    </row>
    <row r="4486" spans="1:2" x14ac:dyDescent="0.25">
      <c r="A4486" s="1" t="s">
        <v>9148</v>
      </c>
      <c r="B4486" t="s">
        <v>9149</v>
      </c>
    </row>
    <row r="4487" spans="1:2" x14ac:dyDescent="0.25">
      <c r="A4487" s="1" t="s">
        <v>9150</v>
      </c>
      <c r="B4487" t="s">
        <v>9151</v>
      </c>
    </row>
    <row r="4488" spans="1:2" x14ac:dyDescent="0.25">
      <c r="A4488" s="1" t="s">
        <v>30</v>
      </c>
      <c r="B4488" t="s">
        <v>9152</v>
      </c>
    </row>
    <row r="4489" spans="1:2" x14ac:dyDescent="0.25">
      <c r="A4489" s="1" t="s">
        <v>9153</v>
      </c>
      <c r="B4489" t="s">
        <v>9154</v>
      </c>
    </row>
    <row r="4490" spans="1:2" x14ac:dyDescent="0.25">
      <c r="A4490" s="1" t="s">
        <v>9155</v>
      </c>
      <c r="B4490" t="s">
        <v>9156</v>
      </c>
    </row>
    <row r="4491" spans="1:2" x14ac:dyDescent="0.25">
      <c r="A4491" s="1" t="s">
        <v>29</v>
      </c>
      <c r="B4491" t="s">
        <v>9157</v>
      </c>
    </row>
    <row r="4492" spans="1:2" x14ac:dyDescent="0.25">
      <c r="A4492" s="1" t="s">
        <v>9158</v>
      </c>
      <c r="B4492" t="s">
        <v>9159</v>
      </c>
    </row>
    <row r="4493" spans="1:2" x14ac:dyDescent="0.25">
      <c r="A4493" s="1" t="s">
        <v>9160</v>
      </c>
      <c r="B4493" t="s">
        <v>9161</v>
      </c>
    </row>
    <row r="4494" spans="1:2" x14ac:dyDescent="0.25">
      <c r="A4494" s="1" t="s">
        <v>9162</v>
      </c>
      <c r="B4494" t="s">
        <v>9163</v>
      </c>
    </row>
    <row r="4495" spans="1:2" x14ac:dyDescent="0.25">
      <c r="A4495" s="1" t="s">
        <v>9164</v>
      </c>
      <c r="B4495" t="s">
        <v>9165</v>
      </c>
    </row>
    <row r="4496" spans="1:2" x14ac:dyDescent="0.25">
      <c r="A4496" s="1" t="s">
        <v>9166</v>
      </c>
      <c r="B4496" t="s">
        <v>9167</v>
      </c>
    </row>
    <row r="4497" spans="1:2" x14ac:dyDescent="0.25">
      <c r="A4497" s="1" t="s">
        <v>9168</v>
      </c>
      <c r="B4497" t="s">
        <v>9169</v>
      </c>
    </row>
    <row r="4498" spans="1:2" x14ac:dyDescent="0.25">
      <c r="A4498" s="1" t="s">
        <v>9170</v>
      </c>
      <c r="B4498" t="s">
        <v>9171</v>
      </c>
    </row>
    <row r="4499" spans="1:2" x14ac:dyDescent="0.25">
      <c r="A4499" s="1" t="s">
        <v>3103</v>
      </c>
      <c r="B4499" t="s">
        <v>9172</v>
      </c>
    </row>
    <row r="4500" spans="1:2" x14ac:dyDescent="0.25">
      <c r="A4500" s="1" t="s">
        <v>6499</v>
      </c>
      <c r="B4500" t="s">
        <v>9173</v>
      </c>
    </row>
    <row r="4501" spans="1:2" x14ac:dyDescent="0.25">
      <c r="A4501" s="1" t="s">
        <v>2641</v>
      </c>
      <c r="B4501" t="s">
        <v>9174</v>
      </c>
    </row>
    <row r="4502" spans="1:2" x14ac:dyDescent="0.25">
      <c r="A4502" s="1" t="s">
        <v>2802</v>
      </c>
      <c r="B4502" t="s">
        <v>9175</v>
      </c>
    </row>
    <row r="4503" spans="1:2" x14ac:dyDescent="0.25">
      <c r="A4503" s="1" t="s">
        <v>5902</v>
      </c>
      <c r="B4503" t="s">
        <v>9176</v>
      </c>
    </row>
    <row r="4504" spans="1:2" x14ac:dyDescent="0.25">
      <c r="A4504" s="1" t="s">
        <v>5071</v>
      </c>
      <c r="B4504" t="s">
        <v>9177</v>
      </c>
    </row>
    <row r="4505" spans="1:2" x14ac:dyDescent="0.25">
      <c r="A4505" s="1" t="s">
        <v>3067</v>
      </c>
      <c r="B4505" t="s">
        <v>9178</v>
      </c>
    </row>
    <row r="4506" spans="1:2" x14ac:dyDescent="0.25">
      <c r="A4506" s="1" t="s">
        <v>6517</v>
      </c>
      <c r="B4506" t="s">
        <v>9179</v>
      </c>
    </row>
    <row r="4507" spans="1:2" x14ac:dyDescent="0.25">
      <c r="A4507" s="1" t="s">
        <v>9180</v>
      </c>
      <c r="B4507" t="s">
        <v>9181</v>
      </c>
    </row>
    <row r="4508" spans="1:2" x14ac:dyDescent="0.25">
      <c r="A4508" s="1" t="s">
        <v>3527</v>
      </c>
      <c r="B4508" t="s">
        <v>9182</v>
      </c>
    </row>
    <row r="4509" spans="1:2" x14ac:dyDescent="0.25">
      <c r="A4509" s="1" t="s">
        <v>1320</v>
      </c>
      <c r="B4509" t="s">
        <v>9183</v>
      </c>
    </row>
    <row r="4510" spans="1:2" x14ac:dyDescent="0.25">
      <c r="A4510" s="1" t="s">
        <v>9184</v>
      </c>
      <c r="B4510" t="s">
        <v>9185</v>
      </c>
    </row>
    <row r="4511" spans="1:2" x14ac:dyDescent="0.25">
      <c r="A4511" s="1" t="s">
        <v>2579</v>
      </c>
      <c r="B4511" t="s">
        <v>9186</v>
      </c>
    </row>
    <row r="4512" spans="1:2" x14ac:dyDescent="0.25">
      <c r="A4512" s="1" t="s">
        <v>3051</v>
      </c>
      <c r="B4512" t="s">
        <v>9187</v>
      </c>
    </row>
    <row r="4513" spans="1:2" x14ac:dyDescent="0.25">
      <c r="A4513" s="1" t="s">
        <v>2196</v>
      </c>
      <c r="B4513" t="s">
        <v>9188</v>
      </c>
    </row>
    <row r="4514" spans="1:2" x14ac:dyDescent="0.25">
      <c r="A4514" s="1" t="s">
        <v>1470</v>
      </c>
      <c r="B4514" t="s">
        <v>9189</v>
      </c>
    </row>
    <row r="4515" spans="1:2" x14ac:dyDescent="0.25">
      <c r="A4515" s="1" t="s">
        <v>9190</v>
      </c>
      <c r="B4515" t="s">
        <v>9191</v>
      </c>
    </row>
    <row r="4516" spans="1:2" x14ac:dyDescent="0.25">
      <c r="A4516" s="1" t="s">
        <v>9192</v>
      </c>
      <c r="B4516" t="s">
        <v>9193</v>
      </c>
    </row>
    <row r="4517" spans="1:2" x14ac:dyDescent="0.25">
      <c r="A4517" s="1" t="s">
        <v>2355</v>
      </c>
      <c r="B4517" t="s">
        <v>9194</v>
      </c>
    </row>
    <row r="4518" spans="1:2" x14ac:dyDescent="0.25">
      <c r="A4518" s="1" t="s">
        <v>9195</v>
      </c>
      <c r="B4518" t="s">
        <v>9196</v>
      </c>
    </row>
    <row r="4519" spans="1:2" x14ac:dyDescent="0.25">
      <c r="A4519" s="1" t="s">
        <v>5398</v>
      </c>
      <c r="B4519" t="s">
        <v>9197</v>
      </c>
    </row>
    <row r="4520" spans="1:2" x14ac:dyDescent="0.25">
      <c r="A4520" s="1" t="s">
        <v>9198</v>
      </c>
      <c r="B4520" t="s">
        <v>9199</v>
      </c>
    </row>
    <row r="4521" spans="1:2" x14ac:dyDescent="0.25">
      <c r="A4521" s="1" t="s">
        <v>1280</v>
      </c>
      <c r="B4521" t="s">
        <v>9200</v>
      </c>
    </row>
    <row r="4522" spans="1:2" x14ac:dyDescent="0.25">
      <c r="A4522" s="1" t="s">
        <v>9201</v>
      </c>
      <c r="B4522" t="s">
        <v>9202</v>
      </c>
    </row>
    <row r="4523" spans="1:2" x14ac:dyDescent="0.25">
      <c r="A4523" s="1" t="s">
        <v>9203</v>
      </c>
      <c r="B4523" t="s">
        <v>9204</v>
      </c>
    </row>
    <row r="4524" spans="1:2" x14ac:dyDescent="0.25">
      <c r="A4524" s="1" t="s">
        <v>9205</v>
      </c>
      <c r="B4524" t="s">
        <v>9206</v>
      </c>
    </row>
    <row r="4525" spans="1:2" x14ac:dyDescent="0.25">
      <c r="A4525" s="1" t="s">
        <v>2318</v>
      </c>
      <c r="B4525" t="s">
        <v>9207</v>
      </c>
    </row>
    <row r="4526" spans="1:2" x14ac:dyDescent="0.25">
      <c r="A4526" s="1" t="s">
        <v>6682</v>
      </c>
      <c r="B4526" t="s">
        <v>9208</v>
      </c>
    </row>
    <row r="4527" spans="1:2" x14ac:dyDescent="0.25">
      <c r="A4527" s="1" t="s">
        <v>9209</v>
      </c>
      <c r="B4527" t="s">
        <v>9210</v>
      </c>
    </row>
    <row r="4528" spans="1:2" x14ac:dyDescent="0.25">
      <c r="A4528" s="1" t="s">
        <v>9211</v>
      </c>
      <c r="B4528" t="s">
        <v>9212</v>
      </c>
    </row>
    <row r="4529" spans="1:2" x14ac:dyDescent="0.25">
      <c r="A4529" s="1" t="s">
        <v>9213</v>
      </c>
      <c r="B4529" t="s">
        <v>9214</v>
      </c>
    </row>
    <row r="4530" spans="1:2" x14ac:dyDescent="0.25">
      <c r="A4530" s="1" t="s">
        <v>9215</v>
      </c>
      <c r="B4530" t="s">
        <v>9216</v>
      </c>
    </row>
    <row r="4531" spans="1:2" x14ac:dyDescent="0.25">
      <c r="A4531" s="1" t="s">
        <v>3864</v>
      </c>
      <c r="B4531" t="s">
        <v>9217</v>
      </c>
    </row>
    <row r="4532" spans="1:2" x14ac:dyDescent="0.25">
      <c r="A4532" s="1" t="s">
        <v>9218</v>
      </c>
      <c r="B4532" t="s">
        <v>9219</v>
      </c>
    </row>
    <row r="4533" spans="1:2" x14ac:dyDescent="0.25">
      <c r="A4533" s="1" t="s">
        <v>9220</v>
      </c>
      <c r="B4533" t="s">
        <v>9221</v>
      </c>
    </row>
    <row r="4534" spans="1:2" x14ac:dyDescent="0.25">
      <c r="A4534" s="1" t="s">
        <v>1455</v>
      </c>
      <c r="B4534" t="s">
        <v>9222</v>
      </c>
    </row>
    <row r="4535" spans="1:2" x14ac:dyDescent="0.25">
      <c r="A4535" s="1" t="s">
        <v>1506</v>
      </c>
      <c r="B4535" t="s">
        <v>9223</v>
      </c>
    </row>
    <row r="4536" spans="1:2" x14ac:dyDescent="0.25">
      <c r="A4536" s="125" t="s">
        <v>9235</v>
      </c>
      <c r="B4536" t="s">
        <v>9232</v>
      </c>
    </row>
    <row r="4537" spans="1:2" x14ac:dyDescent="0.25">
      <c r="A4537" s="1" t="s">
        <v>9233</v>
      </c>
      <c r="B4537" t="s">
        <v>9234</v>
      </c>
    </row>
    <row r="4538" spans="1:2" x14ac:dyDescent="0.25">
      <c r="A4538" s="1" t="s">
        <v>9227</v>
      </c>
      <c r="B4538" t="s">
        <v>9237</v>
      </c>
    </row>
    <row r="4539" spans="1:2" x14ac:dyDescent="0.25">
      <c r="A4539" s="1" t="s">
        <v>9228</v>
      </c>
      <c r="B4539" t="s">
        <v>9238</v>
      </c>
    </row>
    <row r="4540" spans="1:2" x14ac:dyDescent="0.25">
      <c r="A4540" s="22" t="s">
        <v>9239</v>
      </c>
      <c r="B4540" t="s">
        <v>9240</v>
      </c>
    </row>
  </sheetData>
  <dataValidations count="2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type="textLength" operator="lessThan" allowBlank="1" showErrorMessage="1" errorTitle="Error" error="Dato invalido, revise los comentarios de la columna para saber que información va en esta columna" sqref="A4536" xr:uid="{00000000-0002-0000-1000-000001000000}">
      <formula1>18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6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9249</v>
      </c>
      <c r="D3" t="s">
        <v>1334</v>
      </c>
      <c r="F3" t="s">
        <v>9224</v>
      </c>
      <c r="G3" s="2">
        <v>110.62</v>
      </c>
      <c r="H3" s="2" t="s">
        <v>7868</v>
      </c>
      <c r="I3" s="2">
        <v>11.06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9252</v>
      </c>
    </row>
    <row r="4" spans="1:19" x14ac:dyDescent="0.25">
      <c r="A4" t="s">
        <v>8796</v>
      </c>
      <c r="B4" t="s">
        <v>8797</v>
      </c>
      <c r="C4" t="s">
        <v>9250</v>
      </c>
      <c r="D4" t="s">
        <v>9251</v>
      </c>
      <c r="F4" t="s">
        <v>7706</v>
      </c>
      <c r="G4" s="2">
        <f>498.5+498.5</f>
        <v>997</v>
      </c>
      <c r="H4" s="2">
        <v>0</v>
      </c>
      <c r="I4" s="2">
        <v>99.7</v>
      </c>
      <c r="J4" s="2">
        <v>0</v>
      </c>
      <c r="K4" s="2">
        <v>0</v>
      </c>
      <c r="L4" s="2">
        <v>72.28</v>
      </c>
      <c r="M4" s="2">
        <v>29.92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9252</v>
      </c>
    </row>
    <row r="6" spans="1:19" x14ac:dyDescent="0.25">
      <c r="A6" t="s">
        <v>7719</v>
      </c>
      <c r="G6"/>
      <c r="H6" s="15">
        <f>SUBTOTAL(109,Tabla9[[MONTO DEVENGADO POR BONIFICACIONES Y GRATIFICACIONES ]])</f>
        <v>0</v>
      </c>
      <c r="I6" s="15">
        <f>SUBTOTAL(109,Tabla9[[IMPUESTO RETENIDO ]])</f>
        <v>110.76</v>
      </c>
      <c r="J6" s="15">
        <f>SUBTOTAL(109,Tabla9[[AGUINALDO EXENTO ]])</f>
        <v>0</v>
      </c>
      <c r="K6" s="15">
        <f>SUBTOTAL(109,Tabla9[[AGUINALDO GRAVADO ]])</f>
        <v>0</v>
      </c>
      <c r="L6" s="15">
        <f>SUBTOTAL(109,Tabla9[AFP])</f>
        <v>72.28</v>
      </c>
      <c r="M6" s="15">
        <f>SUBTOTAL(109,Tabla9[ISSS])</f>
        <v>29.92</v>
      </c>
      <c r="N6" s="15">
        <f>SUBTOTAL(109,Tabla9[INPEP])</f>
        <v>0</v>
      </c>
      <c r="O6" s="15">
        <f>SUBTOTAL(109,Tabla9[IPSFA])</f>
        <v>0</v>
      </c>
      <c r="P6" s="15">
        <f>SUBTOTAL(109,Tabla9[CEFAFA])</f>
        <v>0</v>
      </c>
      <c r="Q6"/>
      <c r="R6"/>
      <c r="S6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8"/>
  <sheetViews>
    <sheetView showGridLines="0" zoomScaleNormal="100" workbookViewId="0">
      <selection activeCell="F8" sqref="F8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50"/>
      <c r="C1" s="151"/>
      <c r="D1" s="148" t="s">
        <v>8948</v>
      </c>
      <c r="E1" s="149"/>
      <c r="F1" s="149"/>
      <c r="I1" s="88"/>
    </row>
    <row r="3" spans="1:10 16383:16383" ht="21.75" customHeight="1" x14ac:dyDescent="0.25">
      <c r="D3" s="84" t="s">
        <v>8573</v>
      </c>
      <c r="E3" s="85" t="s">
        <v>7944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GRAVADAS]],Tabla3[[#All],[MES]],Tabla7[[#Headers],[ENERO]])/(1.13),2)</f>
        <v>0</v>
      </c>
      <c r="F4" s="93"/>
      <c r="G4" s="110"/>
      <c r="H4" s="91" t="s">
        <v>8759</v>
      </c>
      <c r="I4" s="115">
        <f>ROUND(F8*0.13-F12*0.13-E14-E15,2)</f>
        <v>357.2</v>
      </c>
      <c r="XFC4" t="s">
        <v>7981</v>
      </c>
    </row>
    <row r="5" spans="1:10 16383:16383" ht="18" customHeight="1" x14ac:dyDescent="0.25">
      <c r="D5" s="91" t="s">
        <v>9229</v>
      </c>
      <c r="E5" s="92">
        <f>ROUND(SUMIFS(Tabla3[[#All],[EX SERVICE]],Tabla3[[#All],[MES]],Tabla7[[#Headers],[ENERO]]),2)</f>
        <v>0</v>
      </c>
      <c r="F5" s="93" t="str">
        <f>IFERROR(+E2+E3-E4,"")</f>
        <v/>
      </c>
      <c r="G5" s="76"/>
      <c r="H5" s="91" t="s">
        <v>8761</v>
      </c>
      <c r="I5" s="101">
        <f>ROUND(F7*0.0175,2)+E16</f>
        <v>165.62</v>
      </c>
      <c r="XFC5" t="s">
        <v>8153</v>
      </c>
    </row>
    <row r="6" spans="1:10 16383:16383" ht="18" customHeight="1" x14ac:dyDescent="0.25">
      <c r="D6" s="91" t="s">
        <v>8760</v>
      </c>
      <c r="E6" s="92">
        <f>ROUND(SUMIFS(Tabla2[[#All],[V. GRAVADA]],Tabla2[[#All],[MES]],Tabla7[[#Headers],[ENERO]],Tabla2[[#All],[TIPO DE DOC]],3),2)</f>
        <v>3135</v>
      </c>
      <c r="F6" s="93"/>
      <c r="G6" s="110"/>
      <c r="H6" s="108" t="s">
        <v>8763</v>
      </c>
      <c r="I6" s="102">
        <f>SUM(I4:I5)</f>
        <v>522.81999999999994</v>
      </c>
      <c r="XFC6" t="s">
        <v>8265</v>
      </c>
    </row>
    <row r="7" spans="1:10 16383:16383" ht="18" customHeight="1" x14ac:dyDescent="0.25">
      <c r="D7" s="91" t="s">
        <v>8762</v>
      </c>
      <c r="E7" s="92">
        <f>ROUND(SUMIFS(Tabla2[[#All],[V. GRAVADA]],Tabla2[[#All],[MES]],Tabla7[[#Headers],[ENERO]],Tabla2[[#All],[TIPO DE DOC]],5),2)</f>
        <v>0</v>
      </c>
      <c r="F7" s="120">
        <f>SUM(E4:E6)-Tabla7[[#This Row],[ENERO]]</f>
        <v>3135</v>
      </c>
      <c r="G7" s="76"/>
      <c r="H7" s="82"/>
      <c r="I7" s="83"/>
      <c r="XFC7" t="s">
        <v>8322</v>
      </c>
    </row>
    <row r="8" spans="1:10 16383:16383" ht="18" customHeight="1" x14ac:dyDescent="0.25">
      <c r="D8" s="118" t="s">
        <v>8773</v>
      </c>
      <c r="E8" s="119"/>
      <c r="F8" s="120">
        <f>+E4+E6-E7</f>
        <v>3135</v>
      </c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8764</v>
      </c>
      <c r="E9" s="92">
        <f>SUMIFS(Tabla1[[#All],[C. GRAVADA]],Tabla1[[#All],[MES]],Tabla7[[#Headers],[ENERO]],Tabla1[[#All],[TIPO DE DOC]],"03")</f>
        <v>387.29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8765</v>
      </c>
      <c r="E10" s="92">
        <f>SUMIFS(Tabla1[[#All],[IMPOR BIENES]],Tabla1[[#All],[MES]],Tabla7[[#Headers],[ENERO]],Tabla1[[#All],[TIPO DE DOC]],12)</f>
        <v>0</v>
      </c>
      <c r="F10" s="94"/>
      <c r="XFC10" t="s">
        <v>8325</v>
      </c>
    </row>
    <row r="11" spans="1:10 16383:16383" ht="18" customHeight="1" x14ac:dyDescent="0.25">
      <c r="D11" s="91" t="s">
        <v>8766</v>
      </c>
      <c r="E11" s="92">
        <f>SUMIFS(Tabla1[[#All],[C. GRAVADA]],Tabla1[[#All],[MES]],Tabla7[[#Headers],[ENERO]],Tabla1[[#All],[TIPO DE DOC]],"05")</f>
        <v>0</v>
      </c>
      <c r="F11" s="95"/>
      <c r="G11" s="15"/>
      <c r="XFC11" t="s">
        <v>8326</v>
      </c>
    </row>
    <row r="12" spans="1:10 16383:16383" ht="18" customHeight="1" x14ac:dyDescent="0.25">
      <c r="D12" s="118" t="s">
        <v>8774</v>
      </c>
      <c r="E12" s="119"/>
      <c r="F12" s="120">
        <f>IFERROR(+E9+E10-E11,"")</f>
        <v>387.29</v>
      </c>
      <c r="G12" s="15"/>
      <c r="XFC12" t="s">
        <v>8327</v>
      </c>
    </row>
    <row r="13" spans="1:10 16383:16383" ht="18" customHeight="1" x14ac:dyDescent="0.25">
      <c r="D13" s="91" t="s">
        <v>8767</v>
      </c>
      <c r="E13" s="92">
        <f>SUMIFS(Tabla1[[#All],[C. EXENTAS]],Tabla1[[#All],[MES]],Tabla7[[#Headers],[ENERO]],Tabla1[[#All],[TIPO DE DOC]],"03")</f>
        <v>3.58</v>
      </c>
      <c r="F13" s="96"/>
      <c r="XFC13" t="s">
        <v>8328</v>
      </c>
    </row>
    <row r="14" spans="1:10 16383:16383" ht="18" customHeight="1" x14ac:dyDescent="0.25">
      <c r="D14" s="91" t="s">
        <v>8768</v>
      </c>
      <c r="E14" s="92">
        <f>SUMIFS(Tabla1[[#All],[PERCEPCIONES]],Tabla1[[#All],[MES]],Tabla7[[#Headers],[ENERO]],Tabla1[[#All],[TIPO DE DOC]],"03")</f>
        <v>0</v>
      </c>
      <c r="F14" s="97"/>
      <c r="XFC14" t="s">
        <v>8329</v>
      </c>
    </row>
    <row r="15" spans="1:10 16383:16383" ht="18" customHeight="1" x14ac:dyDescent="0.25">
      <c r="D15" s="91" t="s">
        <v>8769</v>
      </c>
      <c r="E15" s="92">
        <f>SUMIFS(Tabla6[[#Headers],[#Data],[Monto Retención 1%]],Tabla6[[#Headers],[#Data],[Mes]],Tabla7[[#Headers],[ENERO]])</f>
        <v>0</v>
      </c>
      <c r="F15" s="98"/>
    </row>
    <row r="16" spans="1:10 16383:16383" ht="18" customHeight="1" x14ac:dyDescent="0.25">
      <c r="D16" s="99" t="s">
        <v>8770</v>
      </c>
      <c r="E16" s="100">
        <f>Tabla9[[#Totals],[IMPUESTO RETENIDO ]]</f>
        <v>110.76</v>
      </c>
      <c r="F16" s="96"/>
    </row>
    <row r="18" spans="6:6" x14ac:dyDescent="0.25">
      <c r="F18" s="12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2024-05-03T22:50:13Z</dcterms:modified>
</cp:coreProperties>
</file>