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UNICA SERVICIOS\2024\"/>
    </mc:Choice>
  </mc:AlternateContent>
  <xr:revisionPtr revIDLastSave="0" documentId="13_ncr:1_{7C0CB70F-FDAF-471D-8158-E683F3790225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RETENCIONES'!$A$1:$J$10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4" r:id="rId22"/>
  </pivotCaches>
</workbook>
</file>

<file path=xl/calcChain.xml><?xml version="1.0" encoding="utf-8"?>
<calcChain xmlns="http://schemas.openxmlformats.org/spreadsheetml/2006/main">
  <c r="E19" i="29" l="1"/>
  <c r="I8" i="31"/>
  <c r="E16" i="29" l="1"/>
  <c r="H8" i="31" l="1"/>
  <c r="J8" i="31"/>
  <c r="K8" i="31"/>
  <c r="L8" i="31"/>
  <c r="M8" i="31"/>
  <c r="N8" i="31"/>
  <c r="O8" i="31"/>
  <c r="P8" i="31"/>
  <c r="Q8" i="31"/>
  <c r="R8" i="31"/>
  <c r="G8" i="31"/>
  <c r="H5" i="21"/>
  <c r="H6" i="21"/>
  <c r="D37" i="29"/>
  <c r="K44" i="29"/>
  <c r="D2" i="21" l="1"/>
  <c r="H8" i="6" l="1"/>
  <c r="L8" i="6" s="1"/>
  <c r="L7" i="6"/>
  <c r="L6" i="6"/>
  <c r="L5" i="6"/>
  <c r="H4" i="6"/>
  <c r="L4" i="6" s="1"/>
  <c r="L3" i="6"/>
  <c r="E6" i="29" l="1"/>
  <c r="E42" i="29" s="1"/>
  <c r="E5" i="29" l="1"/>
  <c r="E43" i="29" s="1"/>
  <c r="E8" i="29"/>
  <c r="E41" i="29" s="1"/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7" i="29" l="1"/>
  <c r="K39" i="29" s="1"/>
  <c r="G2" i="30" l="1"/>
  <c r="F2" i="30" s="1"/>
  <c r="I2" i="30"/>
  <c r="H2" i="30" s="1"/>
  <c r="G3" i="30"/>
  <c r="F3" i="30" s="1"/>
  <c r="I3" i="30"/>
  <c r="H3" i="30" s="1"/>
  <c r="S8" i="31" l="1"/>
  <c r="I11" i="13" l="1"/>
  <c r="D17" i="6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H40" i="29" l="1"/>
  <c r="H41" i="29" s="1"/>
  <c r="F14" i="29"/>
  <c r="F10" i="29"/>
  <c r="F9" i="29"/>
  <c r="I5" i="29" s="1"/>
  <c r="E40" i="29"/>
  <c r="E44" i="29" s="1"/>
  <c r="K40" i="29" s="1"/>
  <c r="F6" i="29"/>
  <c r="G23" i="29" l="1"/>
  <c r="E18" i="29"/>
  <c r="I4" i="29" s="1"/>
  <c r="H46" i="29"/>
  <c r="H45" i="29"/>
  <c r="E11" i="13"/>
  <c r="H47" i="29" l="1"/>
  <c r="I6" i="29"/>
  <c r="F11" i="13" l="1"/>
  <c r="T7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H11" i="13" l="1"/>
  <c r="M13" i="10" l="1"/>
  <c r="N13" i="10"/>
  <c r="O13" i="10"/>
  <c r="P13" i="10"/>
  <c r="Q13" i="10"/>
  <c r="R13" i="10"/>
  <c r="S13" i="10"/>
  <c r="T13" i="10"/>
  <c r="U13" i="10"/>
  <c r="L13" i="10"/>
  <c r="L15" i="10" s="1"/>
  <c r="L16" i="10" s="1"/>
  <c r="D9" i="9"/>
  <c r="D10" i="9" s="1"/>
  <c r="D11" i="9" s="1"/>
  <c r="O14" i="10" l="1"/>
  <c r="O15" i="10" s="1"/>
  <c r="D22" i="9"/>
  <c r="D18" i="5" l="1"/>
  <c r="L40" i="8"/>
  <c r="M40" i="8"/>
  <c r="N40" i="8"/>
  <c r="O40" i="8"/>
  <c r="P40" i="8"/>
  <c r="Q40" i="8"/>
  <c r="K40" i="8"/>
  <c r="J74" i="7" l="1"/>
  <c r="K74" i="7"/>
  <c r="L74" i="7"/>
  <c r="M74" i="7"/>
  <c r="N74" i="7"/>
  <c r="O74" i="7"/>
  <c r="P74" i="7"/>
  <c r="I74" i="7"/>
  <c r="H7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</author>
  </authors>
  <commentList>
    <comment ref="E3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DESPACHO: CAMBIE EL MES QUE DESEA CONSULTAR DESPLEGANDO LA LISTA DE MESES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<sst xmlns="http://schemas.openxmlformats.org/spreadsheetml/2006/main" count="27085" uniqueCount="9369">
  <si>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</si>
  <si>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</si>
  <si>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</si>
  <si>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</si>
  <si>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</si>
  <si>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</si>
  <si>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</si>
  <si>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</si>
  <si>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</si>
  <si>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</si>
  <si>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</si>
  <si>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</si>
  <si>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</si>
  <si>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</si>
  <si>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</si>
  <si>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</si>
  <si>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</si>
  <si>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</si>
  <si>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</si>
  <si>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</si>
  <si>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</si>
  <si>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</si>
  <si>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</si>
  <si>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</si>
  <si>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</si>
  <si>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</si>
  <si>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</si>
  <si>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</si>
  <si>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</si>
  <si>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</si>
  <si>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</si>
  <si>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</si>
  <si>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</si>
  <si>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</si>
  <si>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</si>
  <si>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</si>
  <si>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</si>
  <si>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</si>
  <si>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</si>
  <si>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</si>
  <si>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</si>
  <si>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</si>
  <si>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</si>
  <si>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</si>
  <si>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</si>
  <si>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</si>
  <si>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</si>
  <si>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</si>
  <si>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</si>
  <si>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</si>
  <si>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</si>
  <si>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</si>
  <si>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</si>
  <si>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</si>
  <si>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</si>
  <si>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</si>
  <si>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</si>
  <si>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</si>
  <si>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</si>
  <si>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</si>
  <si>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</si>
  <si>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</si>
  <si>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</si>
  <si>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</si>
  <si>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</si>
  <si>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</si>
  <si>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</si>
  <si>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</si>
  <si>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</si>
  <si>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</si>
  <si>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</si>
  <si>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</si>
  <si>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</si>
  <si>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</si>
  <si>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</si>
  <si>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</si>
  <si>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</si>
  <si>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</si>
  <si>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</si>
  <si>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</si>
  <si>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</si>
  <si>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</si>
  <si>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</si>
  <si>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</si>
  <si>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</si>
  <si>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</si>
  <si>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</si>
  <si>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</si>
  <si>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</si>
  <si>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</si>
  <si>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</si>
  <si>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</si>
  <si>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</si>
  <si>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</si>
  <si>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</si>
  <si>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</si>
  <si>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</si>
  <si>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</si>
  <si>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</si>
  <si>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</si>
  <si>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</si>
  <si>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</si>
  <si>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</si>
  <si>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</si>
  <si>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</si>
  <si>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</si>
  <si>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</si>
  <si>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</si>
  <si>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</si>
  <si>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</si>
  <si>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</si>
  <si>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</si>
  <si>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</si>
  <si>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</si>
  <si>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</si>
  <si>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</si>
  <si>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</si>
  <si>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</si>
  <si>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</si>
  <si>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</si>
  <si>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</si>
  <si>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</si>
  <si>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</si>
  <si>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</si>
  <si>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</si>
  <si>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</si>
  <si>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</si>
  <si>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</si>
  <si>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</si>
  <si>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</si>
  <si>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</si>
  <si>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</si>
  <si>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</si>
  <si>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</si>
  <si>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</si>
  <si>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</si>
  <si>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</si>
  <si>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</si>
  <si>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</si>
  <si>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</si>
  <si>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</si>
  <si>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</si>
  <si>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</si>
  <si>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</si>
  <si>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</si>
  <si>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</si>
  <si>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</si>
  <si>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</si>
  <si>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</si>
  <si>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</si>
  <si>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</si>
  <si>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</si>
  <si>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</si>
  <si>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</si>
  <si>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</si>
  <si>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</si>
  <si>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</si>
  <si>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</si>
  <si>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</si>
  <si>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</si>
  <si>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</si>
  <si>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</si>
  <si>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</si>
  <si>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</si>
  <si>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</si>
  <si>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</si>
  <si>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</si>
  <si>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</si>
  <si>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</si>
  <si>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</si>
  <si>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</si>
  <si>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</si>
  <si>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</si>
  <si>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</si>
  <si>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</si>
  <si>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</si>
  <si>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</si>
  <si>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</si>
  <si>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</si>
  <si>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</si>
  <si>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</si>
  <si>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</si>
  <si>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</si>
  <si>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</si>
  <si>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</si>
  <si>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</si>
  <si>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</si>
  <si>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</si>
  <si>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</si>
  <si>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</si>
  <si>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</si>
  <si>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</si>
  <si>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</si>
  <si>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</si>
  <si>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</si>
  <si>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</si>
  <si>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</si>
  <si>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</si>
  <si>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</si>
  <si>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</si>
  <si>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</si>
  <si>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</si>
  <si>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</si>
  <si>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</si>
  <si>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</si>
  <si>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</si>
  <si>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</si>
  <si>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</si>
  <si>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</si>
  <si>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</si>
  <si>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</si>
  <si>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</si>
  <si>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</si>
  <si>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</si>
  <si>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</si>
  <si>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</si>
  <si>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</si>
  <si>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</si>
  <si>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</si>
  <si>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</si>
  <si>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</si>
  <si>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</si>
  <si>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</si>
  <si>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</si>
  <si>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</si>
  <si>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</si>
  <si>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</si>
  <si>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</si>
  <si>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</si>
  <si>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</si>
  <si>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</si>
  <si>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</si>
  <si>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</si>
  <si>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</si>
  <si>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</si>
  <si>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</si>
  <si>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</si>
  <si>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</si>
  <si>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</si>
  <si>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</si>
  <si>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</si>
  <si>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</si>
  <si>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</si>
  <si>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</si>
  <si>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</si>
  <si>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</si>
  <si>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</si>
  <si>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</si>
  <si>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</si>
  <si>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</si>
  <si>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</si>
  <si>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</si>
  <si>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</si>
  <si>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</si>
  <si>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</si>
  <si>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</si>
  <si>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</si>
  <si>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</si>
  <si>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</si>
  <si>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</si>
  <si>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</si>
  <si>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</si>
  <si>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</si>
  <si>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</si>
  <si>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</si>
  <si>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</si>
  <si>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</si>
  <si>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</si>
  <si>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</si>
  <si>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</si>
  <si>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</si>
  <si>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</si>
  <si>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</si>
  <si>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</si>
  <si>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</si>
  <si>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</si>
  <si>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</si>
  <si>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</si>
  <si>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</si>
  <si>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</si>
  <si>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</si>
  <si>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</si>
  <si>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</si>
  <si>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</si>
  <si>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</si>
  <si>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</si>
  <si>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</si>
  <si>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</si>
  <si>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</si>
  <si>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</si>
  <si>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</si>
  <si>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</si>
  <si>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</si>
  <si>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</si>
  <si>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</si>
  <si>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</si>
  <si>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</si>
  <si>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</si>
  <si>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</si>
  <si>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</si>
  <si>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</si>
  <si>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</si>
  <si>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</si>
  <si>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</si>
  <si>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</si>
  <si>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</si>
  <si>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</si>
  <si>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</si>
  <si>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</si>
  <si>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</si>
  <si>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</si>
  <si>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</si>
  <si>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</si>
  <si>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</si>
  <si>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</si>
  <si>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</si>
  <si>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</si>
  <si>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</si>
  <si>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</si>
  <si>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</si>
  <si>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</si>
  <si>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</si>
  <si>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</si>
  <si>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</si>
  <si>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</si>
  <si>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</si>
  <si>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</si>
  <si>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</si>
  <si>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</si>
  <si>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</si>
  <si>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</si>
  <si>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</si>
  <si>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</si>
  <si>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</si>
  <si>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</si>
  <si>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</si>
  <si>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</si>
  <si>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</si>
  <si>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</si>
  <si>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</si>
  <si>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</si>
  <si>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</si>
  <si>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</si>
  <si>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</si>
  <si>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</si>
  <si>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</si>
  <si>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</si>
  <si>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</si>
  <si>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</si>
  <si>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</si>
  <si>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</si>
  <si>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</si>
  <si>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</si>
  <si>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</si>
  <si>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</si>
  <si>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</si>
  <si>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</si>
  <si>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</si>
  <si>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</si>
  <si>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</si>
  <si>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</si>
  <si>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</si>
  <si>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</si>
  <si>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</si>
  <si>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</si>
  <si>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</si>
  <si>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</si>
  <si>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</si>
  <si>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</si>
  <si>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</si>
  <si>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</si>
  <si>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</si>
  <si>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</si>
  <si>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</si>
  <si>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</si>
  <si>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</si>
  <si>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</si>
  <si>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</si>
  <si>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</si>
  <si>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</si>
  <si>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</si>
  <si>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</si>
  <si>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</si>
  <si>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</si>
  <si>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</si>
  <si>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</si>
  <si>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</si>
  <si>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</si>
  <si>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</si>
  <si>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</si>
  <si>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</si>
  <si>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</si>
  <si>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</si>
  <si>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</si>
  <si>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</si>
  <si>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</si>
  <si>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</si>
  <si>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</si>
  <si>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</si>
  <si>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</si>
  <si>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</si>
  <si>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</si>
  <si>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</si>
  <si>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</si>
  <si>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</si>
  <si>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</si>
  <si>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</si>
  <si>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</si>
  <si>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</si>
  <si>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</si>
  <si>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</si>
  <si>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</si>
  <si>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</si>
  <si>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</si>
  <si>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</si>
  <si>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</si>
  <si>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</si>
  <si>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</si>
  <si>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</si>
  <si>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</si>
  <si>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</si>
  <si>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</si>
  <si>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</si>
  <si>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</si>
  <si>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</si>
  <si>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</si>
  <si>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</si>
  <si>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</si>
  <si>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</si>
  <si>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</si>
  <si>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</si>
  <si>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</si>
  <si>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</si>
  <si>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</si>
  <si>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</si>
  <si>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</si>
  <si>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</si>
  <si>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</si>
  <si>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</si>
  <si>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</si>
  <si>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</si>
  <si>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</si>
  <si>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</si>
  <si>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</si>
  <si>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</si>
  <si>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</si>
  <si>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</si>
  <si>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</si>
  <si>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</si>
  <si>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</si>
  <si>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</si>
  <si>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</si>
  <si>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</si>
  <si>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</si>
  <si>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</si>
  <si>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</si>
  <si>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</si>
  <si>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</si>
  <si>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</si>
  <si>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</si>
  <si>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</si>
  <si>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</si>
  <si>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</si>
  <si>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</si>
  <si>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</si>
  <si>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</si>
  <si>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</si>
  <si>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</si>
  <si>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</si>
  <si>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</si>
  <si>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</si>
  <si>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</si>
  <si>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</si>
  <si>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</si>
  <si>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</si>
  <si>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</si>
  <si>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</si>
  <si>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</si>
  <si>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</si>
  <si>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</si>
  <si>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</si>
  <si>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</si>
  <si>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</si>
  <si>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</si>
  <si>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</si>
  <si>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</si>
  <si>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</si>
  <si>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</si>
  <si>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</si>
  <si>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</si>
  <si>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</si>
  <si>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</si>
  <si>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</si>
  <si>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</si>
  <si>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</si>
  <si>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</si>
  <si>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</si>
  <si>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</si>
  <si>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</si>
  <si>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</si>
  <si>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</si>
  <si>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</si>
  <si>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</si>
  <si>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</si>
  <si>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</si>
  <si>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</si>
  <si>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</si>
  <si>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</si>
  <si>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</si>
  <si>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</si>
  <si>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</si>
  <si>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</si>
  <si>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</si>
  <si>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</si>
  <si>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</si>
  <si>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</si>
  <si>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</si>
  <si>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</si>
  <si>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</si>
  <si>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</si>
  <si>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</si>
  <si>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</si>
  <si>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</si>
  <si>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</si>
  <si>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</si>
  <si>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</si>
  <si>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</si>
  <si>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</si>
  <si>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</si>
  <si>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</si>
  <si>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</si>
  <si>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</si>
  <si>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</si>
  <si>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</si>
  <si>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</si>
  <si>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</si>
  <si>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</si>
  <si>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</si>
  <si>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</si>
  <si>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</si>
  <si>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</si>
  <si>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</si>
  <si>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</si>
  <si>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</si>
  <si>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</si>
  <si>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</si>
  <si>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</si>
  <si>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</si>
  <si>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</si>
  <si>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</si>
  <si>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</si>
  <si>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</si>
  <si>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</si>
  <si>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</si>
  <si>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</si>
  <si>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</si>
  <si>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</si>
  <si>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</si>
  <si>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</si>
  <si>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</si>
  <si>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</si>
  <si>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</si>
  <si>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</si>
  <si>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</si>
  <si>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</si>
  <si>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</si>
  <si>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</si>
  <si>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</si>
  <si>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</si>
  <si>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</si>
  <si>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</si>
  <si>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</si>
  <si>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</si>
  <si>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</si>
  <si>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</si>
  <si>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</si>
  <si>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</si>
  <si>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</si>
  <si>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</si>
  <si>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</si>
  <si>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</si>
  <si>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</si>
  <si>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</si>
  <si>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</si>
  <si>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</si>
  <si>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</si>
  <si>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</si>
  <si>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</si>
  <si>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</si>
  <si>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</si>
  <si>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</si>
  <si>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</si>
  <si>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</si>
  <si>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</si>
  <si>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</si>
  <si>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</si>
  <si>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</si>
  <si>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</si>
  <si>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</si>
  <si>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</si>
  <si>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</si>
  <si>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</si>
  <si>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</si>
  <si>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</si>
  <si>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</si>
  <si>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</si>
  <si>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</si>
  <si>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</si>
  <si>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</si>
  <si>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</si>
  <si>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</si>
  <si>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</si>
  <si>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</si>
  <si>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</si>
  <si>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</si>
  <si>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</si>
  <si>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</si>
  <si>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</si>
  <si>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</si>
  <si>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</si>
  <si>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</si>
  <si>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</si>
  <si>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</si>
  <si>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</si>
  <si>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</si>
  <si>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</si>
  <si>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</si>
  <si>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</si>
  <si>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</si>
  <si>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</si>
  <si>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</si>
  <si>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</si>
  <si>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</si>
  <si>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</si>
  <si>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</si>
  <si>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</si>
  <si>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</si>
  <si>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</si>
  <si>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</si>
  <si>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</si>
  <si>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</si>
  <si>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</si>
  <si>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</si>
  <si>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</si>
  <si>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</si>
  <si>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</si>
  <si>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</si>
  <si>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</si>
  <si>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</si>
  <si>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</si>
  <si>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</si>
  <si>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</si>
  <si>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</si>
  <si>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</si>
  <si>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</si>
  <si>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</si>
  <si>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</si>
  <si>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</si>
  <si>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</si>
  <si>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</si>
  <si>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</si>
  <si>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</si>
  <si>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</si>
  <si>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</si>
  <si>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</si>
  <si>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</si>
  <si>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</si>
  <si>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</si>
  <si>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</si>
  <si>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</si>
  <si>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</si>
  <si>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</si>
  <si>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</si>
  <si>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</si>
  <si>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</si>
  <si>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</si>
  <si>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</si>
  <si>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</si>
  <si>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</si>
  <si>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</si>
  <si>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</si>
  <si>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</si>
  <si>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</si>
  <si>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</si>
  <si>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</si>
  <si>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</si>
  <si>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</si>
  <si>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</si>
  <si>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</si>
  <si>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</si>
  <si>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</si>
  <si>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</si>
  <si>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</si>
  <si>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</si>
  <si>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</si>
  <si>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</si>
  <si>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</si>
  <si>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</si>
  <si>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</si>
  <si>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</si>
  <si>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</si>
  <si>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</si>
  <si>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</si>
  <si>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</si>
  <si>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</si>
  <si>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</si>
  <si>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</si>
  <si>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</si>
  <si>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</si>
  <si>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</si>
  <si>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</si>
  <si>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</si>
  <si>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</si>
  <si>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</si>
  <si>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</si>
  <si>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</si>
  <si>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</si>
  <si>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</si>
  <si>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</si>
  <si>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</si>
  <si>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</si>
  <si>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</si>
  <si>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</si>
  <si>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</si>
  <si>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</si>
  <si>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</si>
  <si>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</si>
  <si>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</si>
  <si>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</si>
  <si>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</si>
  <si>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</si>
  <si>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</si>
  <si>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</si>
  <si>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</si>
  <si>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</si>
  <si>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</si>
  <si>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</si>
  <si>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</si>
  <si>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</si>
  <si>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</si>
  <si>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</si>
  <si>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</si>
  <si>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</si>
  <si>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</si>
  <si>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</si>
  <si>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</si>
  <si>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</si>
  <si>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</si>
  <si>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</si>
  <si>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</si>
  <si>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</si>
  <si>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</si>
  <si>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</si>
  <si>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</si>
  <si>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</si>
  <si>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</si>
  <si>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</si>
  <si>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</si>
  <si>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</si>
  <si>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</si>
  <si>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</si>
  <si>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</si>
  <si>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</si>
  <si>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</si>
  <si>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</si>
  <si>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</si>
  <si>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</si>
  <si>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</si>
  <si>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</si>
  <si>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</si>
  <si>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</si>
  <si>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</si>
  <si>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</si>
  <si>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</si>
  <si>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</si>
  <si>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</si>
  <si>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</si>
  <si>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</si>
  <si>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</si>
  <si>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</si>
  <si>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</si>
  <si>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</si>
  <si>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</si>
  <si>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</si>
  <si>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</si>
  <si>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</si>
  <si>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</si>
  <si>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</si>
  <si>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</si>
  <si>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</si>
  <si>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</si>
  <si>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</si>
  <si>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</si>
  <si>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</si>
  <si>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</si>
  <si>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</si>
  <si>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</si>
  <si>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</si>
  <si>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</si>
  <si>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</si>
  <si>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</si>
  <si>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</si>
  <si>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</si>
  <si>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</si>
  <si>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</si>
  <si>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</si>
  <si>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</si>
  <si>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</si>
  <si>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</si>
  <si>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</si>
  <si>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</si>
  <si>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</si>
  <si>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</si>
  <si>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</si>
  <si>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</si>
  <si>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</si>
  <si>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</si>
  <si>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</si>
  <si>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</si>
  <si>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</si>
  <si>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</si>
  <si>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</si>
  <si>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</si>
  <si>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</si>
  <si>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</si>
  <si>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</si>
  <si>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</si>
  <si>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</si>
  <si>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</si>
  <si>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</si>
  <si>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</si>
  <si>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</si>
  <si>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</si>
  <si>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</si>
  <si>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</si>
  <si>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</si>
  <si>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</si>
  <si>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</si>
  <si>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</si>
  <si>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</si>
  <si>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</si>
  <si>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</si>
  <si>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</si>
  <si>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</si>
  <si>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</si>
  <si>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</si>
  <si>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</si>
  <si>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</si>
  <si>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</si>
  <si>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</si>
  <si>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</si>
  <si>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</si>
  <si>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</si>
  <si>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</si>
  <si>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</si>
  <si>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</si>
  <si>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</si>
  <si>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</si>
  <si>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</si>
  <si>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</si>
  <si>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</si>
  <si>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</si>
  <si>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</si>
  <si>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</si>
  <si>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</si>
  <si>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</si>
  <si>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</si>
  <si>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</si>
  <si>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</si>
  <si>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</si>
  <si>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</si>
  <si>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</si>
  <si>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</si>
  <si>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</si>
  <si>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</si>
  <si>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</si>
  <si>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</si>
  <si>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</si>
  <si>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</si>
  <si>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</si>
  <si>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</si>
  <si>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</si>
  <si>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</si>
  <si>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</si>
  <si>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</si>
  <si>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</si>
  <si>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</si>
  <si>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</si>
  <si>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</si>
  <si>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</si>
  <si>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</si>
  <si>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</si>
  <si>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</si>
  <si>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</si>
  <si>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</si>
  <si>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</si>
  <si>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</si>
  <si>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</si>
  <si>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</si>
  <si>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</si>
  <si>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</si>
  <si>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</si>
  <si>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</si>
  <si>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</si>
  <si>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</si>
  <si>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</si>
  <si>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</si>
  <si>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</si>
  <si>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</si>
  <si>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</si>
  <si>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</si>
  <si>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</si>
  <si>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</si>
  <si>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</si>
  <si>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</si>
  <si>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</si>
  <si>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</si>
  <si>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</si>
  <si>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</si>
  <si>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</si>
  <si>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</si>
  <si>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</si>
  <si>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</si>
  <si>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</si>
  <si>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</si>
  <si>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</si>
  <si>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</si>
  <si>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</si>
  <si>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</si>
  <si>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</si>
  <si>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</si>
  <si>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</si>
  <si>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</si>
  <si>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</si>
  <si>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</si>
  <si>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</si>
  <si>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</si>
  <si>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</si>
  <si>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</si>
  <si>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</si>
  <si>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</si>
  <si>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</si>
  <si>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</si>
  <si>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</si>
  <si>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</si>
  <si>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</si>
  <si>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</si>
  <si>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</si>
  <si>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</si>
  <si>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</si>
  <si>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</si>
  <si>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</si>
  <si>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</si>
  <si>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</si>
  <si>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</si>
  <si>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</si>
  <si>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</si>
  <si>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</si>
  <si>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</si>
  <si>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</si>
  <si>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</si>
  <si>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</si>
  <si>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</si>
  <si>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</si>
  <si>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</si>
  <si>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</si>
  <si>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</si>
  <si>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</si>
  <si>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</si>
  <si>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</si>
  <si>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</si>
  <si>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</si>
  <si>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</si>
  <si>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</si>
  <si>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</si>
  <si>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</si>
  <si>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</si>
  <si>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</si>
  <si>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</si>
  <si>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</si>
  <si>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</si>
  <si>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</si>
  <si>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</si>
  <si>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</si>
  <si>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</si>
  <si>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</si>
  <si>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</si>
  <si>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</si>
  <si>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</si>
  <si>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</si>
  <si>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</si>
  <si>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</si>
  <si>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</si>
  <si>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</si>
  <si>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</si>
  <si>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</si>
  <si>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</si>
  <si>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</si>
  <si>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</si>
  <si>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</si>
  <si>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</si>
  <si>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</si>
  <si>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</si>
  <si>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</si>
  <si>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</si>
  <si>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</si>
  <si>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</si>
  <si>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</si>
  <si>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</si>
  <si>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</si>
  <si>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</si>
  <si>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</si>
  <si>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</si>
  <si>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</si>
  <si>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</si>
  <si>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</si>
  <si>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</si>
  <si>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</si>
  <si>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</si>
  <si>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</si>
  <si>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</si>
  <si>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</si>
  <si>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</si>
  <si>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</si>
  <si>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</si>
  <si>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</si>
  <si>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</si>
  <si>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</si>
  <si>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</si>
  <si>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</si>
  <si>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</si>
  <si>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</si>
  <si>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</si>
  <si>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</si>
  <si>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</si>
  <si>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</si>
  <si>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</si>
  <si>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</si>
  <si>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</si>
  <si>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</si>
  <si>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</si>
  <si>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</si>
  <si>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</si>
  <si>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</si>
  <si>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</si>
  <si>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</si>
  <si>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</si>
  <si>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</si>
  <si>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</si>
  <si>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</si>
  <si>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</si>
  <si>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</si>
  <si>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</si>
  <si>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</si>
  <si>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</si>
  <si>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</si>
  <si>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</si>
  <si>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</si>
  <si>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</si>
  <si>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</si>
  <si>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</si>
  <si>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</si>
  <si>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</si>
  <si>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</si>
  <si>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</si>
  <si>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</si>
  <si>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</si>
  <si>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</si>
  <si>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</si>
  <si>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</si>
  <si>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</si>
  <si>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</si>
  <si>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</si>
  <si>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</si>
  <si>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</si>
  <si>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</si>
  <si>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</si>
  <si>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</si>
  <si>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</si>
  <si>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</si>
  <si>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</si>
  <si>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</si>
  <si>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</si>
  <si>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</si>
  <si>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</si>
  <si>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</si>
  <si>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</si>
  <si>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</si>
  <si>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</si>
  <si>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</si>
  <si>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</si>
  <si>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</si>
  <si>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</si>
  <si>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</si>
  <si>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</si>
  <si>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</si>
  <si>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</si>
  <si>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</si>
  <si>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</si>
  <si>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</si>
  <si>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</si>
  <si>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</si>
  <si>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</si>
  <si>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</si>
  <si>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</si>
  <si>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</si>
  <si>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</si>
  <si>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</si>
  <si>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</si>
  <si>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</si>
  <si>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</si>
  <si>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</si>
  <si>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</si>
  <si>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</si>
  <si>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</si>
  <si>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</si>
  <si>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</si>
  <si>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</si>
  <si>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</si>
  <si>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</si>
  <si>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</si>
  <si>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</si>
  <si>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</si>
  <si>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</si>
  <si>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</si>
  <si>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</si>
  <si>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</si>
  <si>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</si>
  <si>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</si>
  <si>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</si>
  <si>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</si>
  <si>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</si>
  <si>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</si>
  <si>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</si>
  <si>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</si>
  <si>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</si>
  <si>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</si>
  <si>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</si>
  <si>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</si>
  <si>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</si>
  <si>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</si>
  <si>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</si>
  <si>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</si>
  <si>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</si>
  <si>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</si>
  <si>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</si>
  <si>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</si>
  <si>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</si>
  <si>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</si>
  <si>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</si>
  <si>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</si>
  <si>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</si>
  <si>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</si>
  <si>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</si>
  <si>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</si>
  <si>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</si>
  <si>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</si>
  <si>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</si>
  <si>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</si>
  <si>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</si>
  <si>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</si>
  <si>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</si>
  <si>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</si>
  <si>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</si>
  <si>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</si>
  <si>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</si>
  <si>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</si>
  <si>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</si>
  <si>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</si>
  <si>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</si>
  <si>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</si>
  <si>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</si>
  <si>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</si>
  <si>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</si>
  <si>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</si>
  <si>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</si>
  <si>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</si>
  <si>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</si>
  <si>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</si>
  <si>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</si>
  <si>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</si>
  <si>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</si>
  <si>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</si>
  <si>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</si>
  <si>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</si>
  <si>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</si>
  <si>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</si>
  <si>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</si>
  <si>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</si>
  <si>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</si>
  <si>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</si>
  <si>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</si>
  <si>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</si>
  <si>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</si>
  <si>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</si>
  <si>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</si>
  <si>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</si>
  <si>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</si>
  <si>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</si>
  <si>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</si>
  <si>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</si>
  <si>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</si>
  <si>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</si>
  <si>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</si>
  <si>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</si>
  <si>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</si>
  <si>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</si>
  <si>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</si>
  <si>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</si>
  <si>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</si>
  <si>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</si>
  <si>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</si>
  <si>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</si>
  <si>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</si>
  <si>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</si>
  <si>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</si>
  <si>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</si>
  <si>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</si>
  <si>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</si>
  <si>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</si>
  <si>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</si>
  <si>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</si>
  <si>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</si>
  <si>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</si>
  <si>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</si>
  <si>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</si>
  <si>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</si>
  <si>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</si>
  <si>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</si>
  <si>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</si>
  <si>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</si>
  <si>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</si>
  <si>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</si>
  <si>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</si>
  <si>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</si>
  <si>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</si>
  <si>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</si>
  <si>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</si>
  <si>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</si>
  <si>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</si>
  <si>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</si>
  <si>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</si>
  <si>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</si>
  <si>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</si>
  <si>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</si>
  <si>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</si>
  <si>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</si>
  <si>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</si>
  <si>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</si>
  <si>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</si>
  <si>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</si>
  <si>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</si>
  <si>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</si>
  <si>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</si>
  <si>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</si>
  <si>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</si>
  <si>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</si>
  <si>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</si>
  <si>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</si>
  <si>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</si>
  <si>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</si>
  <si>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</si>
  <si>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</si>
  <si>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</si>
  <si>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</si>
  <si>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</si>
  <si>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</si>
  <si>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</si>
  <si>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</si>
  <si>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</si>
  <si>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</si>
  <si>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</si>
  <si>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</si>
  <si>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</si>
  <si>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</si>
  <si>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</si>
  <si>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</si>
  <si>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</si>
  <si>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</si>
  <si>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</si>
  <si>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</si>
  <si>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</si>
  <si>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</si>
  <si>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</si>
  <si>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</si>
  <si>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</si>
  <si>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</si>
  <si>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</si>
  <si>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</si>
  <si>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</si>
  <si>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</si>
  <si>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</si>
  <si>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</si>
  <si>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</si>
  <si>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</si>
  <si>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</si>
  <si>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</si>
  <si>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</si>
  <si>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</si>
  <si>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</si>
  <si>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</si>
  <si>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</si>
  <si>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</si>
  <si>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</si>
  <si>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</si>
  <si>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</si>
  <si>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</si>
  <si>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</si>
  <si>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</si>
  <si>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</si>
  <si>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</si>
  <si>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</si>
  <si>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</si>
  <si>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</si>
  <si>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</si>
  <si>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</si>
  <si>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</si>
  <si>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</si>
  <si>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</si>
  <si>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</si>
  <si>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</si>
  <si>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</si>
  <si>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</si>
  <si>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</si>
  <si>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</si>
  <si>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</si>
  <si>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</si>
  <si>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</si>
  <si>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</si>
  <si>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</si>
  <si>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</si>
  <si>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</si>
  <si>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</si>
  <si>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</si>
  <si>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</si>
  <si>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</si>
  <si>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</si>
  <si>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</si>
  <si>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</si>
  <si>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</si>
  <si>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</si>
  <si>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</si>
  <si>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</si>
  <si>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</si>
  <si>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</si>
  <si>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</si>
  <si>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</si>
  <si>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</si>
  <si>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</si>
  <si>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</si>
  <si>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</si>
  <si>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</si>
  <si>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</si>
  <si>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</si>
  <si>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</si>
  <si>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</si>
  <si>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</si>
  <si>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</si>
  <si>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</si>
  <si>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</si>
  <si>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</si>
  <si>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</si>
  <si>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</si>
  <si>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</si>
  <si>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</si>
  <si>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</si>
  <si>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</si>
  <si>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</si>
  <si>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</si>
  <si>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</si>
  <si>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</si>
  <si>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</si>
  <si>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</si>
  <si>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</si>
  <si>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</si>
  <si>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</si>
  <si>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</si>
  <si>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</si>
  <si>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</si>
  <si>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</si>
  <si>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</si>
  <si>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</si>
  <si>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</si>
  <si>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</si>
  <si>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</si>
  <si>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</si>
  <si>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</si>
  <si>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</si>
  <si>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</si>
  <si>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</si>
  <si>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</si>
  <si>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</si>
  <si>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</si>
  <si>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</si>
  <si>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</si>
  <si>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</si>
  <si>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</si>
  <si>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</si>
  <si>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</si>
  <si>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</si>
  <si>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</si>
  <si>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</si>
  <si>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</si>
  <si>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</si>
  <si>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</si>
  <si>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</si>
  <si>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</si>
  <si>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</si>
  <si>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</si>
  <si>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</si>
  <si>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</si>
  <si>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</si>
  <si>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</si>
  <si>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</si>
  <si>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</si>
  <si>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</si>
  <si>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</si>
  <si>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</si>
  <si>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</si>
  <si>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</si>
  <si>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</si>
  <si>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</si>
  <si>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</si>
  <si>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</si>
  <si>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</si>
  <si>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</si>
  <si>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</si>
  <si>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</si>
  <si>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</si>
  <si>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</si>
  <si>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</si>
  <si>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</si>
  <si>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</si>
  <si>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</si>
  <si>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</si>
  <si>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</si>
  <si>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</si>
  <si>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</si>
  <si>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</si>
  <si>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</si>
  <si>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</si>
  <si>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</si>
  <si>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</si>
  <si>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</si>
  <si>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</si>
  <si>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</si>
  <si>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</si>
  <si>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</si>
  <si>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</si>
  <si>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</si>
  <si>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</si>
  <si>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</si>
  <si>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</si>
  <si>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</si>
  <si>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</si>
  <si>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</si>
  <si>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</si>
  <si>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</si>
  <si>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</si>
  <si>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</si>
  <si>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</si>
  <si>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</si>
  <si>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</si>
  <si>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</si>
  <si>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</si>
  <si>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</si>
  <si>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</si>
  <si>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</si>
  <si>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</si>
  <si>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</si>
  <si>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</si>
  <si>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</si>
  <si>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</si>
  <si>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</si>
  <si>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</si>
  <si>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</si>
  <si>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</si>
  <si>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</si>
  <si>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</si>
  <si>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</si>
  <si>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</si>
  <si>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</si>
  <si>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</si>
  <si>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</si>
  <si>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</si>
  <si>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</si>
  <si>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</si>
  <si>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</si>
  <si>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</si>
  <si>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</si>
  <si>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</si>
  <si>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</si>
  <si>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</si>
  <si>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</si>
  <si>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</si>
  <si>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</si>
  <si>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</si>
  <si>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</si>
  <si>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</si>
  <si>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</si>
  <si>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</si>
  <si>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</si>
  <si>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</si>
  <si>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</si>
  <si>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</si>
  <si>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</si>
  <si>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</si>
  <si>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</si>
  <si>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</si>
  <si>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</si>
  <si>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</si>
  <si>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</si>
  <si>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</si>
  <si>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</si>
  <si>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</si>
  <si>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</si>
  <si>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</si>
  <si>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</si>
  <si>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</si>
  <si>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</si>
  <si>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</si>
  <si>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</si>
  <si>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</si>
  <si>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</si>
  <si>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</si>
  <si>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</si>
  <si>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</si>
  <si>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</si>
  <si>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</si>
  <si>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</si>
  <si>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</si>
  <si>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</si>
  <si>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</si>
  <si>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</si>
  <si>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</si>
  <si>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</si>
  <si>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</si>
  <si>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</si>
  <si>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</si>
  <si>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</si>
  <si>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</si>
  <si>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</si>
  <si>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</si>
  <si>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</si>
  <si>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</si>
  <si>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</si>
  <si>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</si>
  <si>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</si>
  <si>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</si>
  <si>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</si>
  <si>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</si>
  <si>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</si>
  <si>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</si>
  <si>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</si>
  <si>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</si>
  <si>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</si>
  <si>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</si>
  <si>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</si>
  <si>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</si>
  <si>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</si>
  <si>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</si>
  <si>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</si>
  <si>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</si>
  <si>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</si>
  <si>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</si>
  <si>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</si>
  <si>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</si>
  <si>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</si>
  <si>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</si>
  <si>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</si>
  <si>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</si>
  <si>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</si>
  <si>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</si>
  <si>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</si>
  <si>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</si>
  <si>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</si>
  <si>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</si>
  <si>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</si>
  <si>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</si>
  <si>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</si>
  <si>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</si>
  <si>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</si>
  <si>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</si>
  <si>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</si>
  <si>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</si>
  <si>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</si>
  <si>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</si>
  <si>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</si>
  <si>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</si>
  <si>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</si>
  <si>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</si>
  <si>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</si>
  <si>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</si>
  <si>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</si>
  <si>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</si>
  <si>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</si>
  <si>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</si>
  <si>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</si>
  <si>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</si>
  <si>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</si>
  <si>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</si>
  <si>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</si>
  <si>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</si>
  <si>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</si>
  <si>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</si>
  <si>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</si>
  <si>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</si>
  <si>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</si>
  <si>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</si>
  <si>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</si>
  <si>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</si>
  <si>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</si>
  <si>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</si>
  <si>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</si>
  <si>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</si>
  <si>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</si>
  <si>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</si>
  <si>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</si>
  <si>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</si>
  <si>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</si>
  <si>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</si>
  <si>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</si>
  <si>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</si>
  <si>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</si>
  <si>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</si>
  <si>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</si>
  <si>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</si>
  <si>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</si>
  <si>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</si>
  <si>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</si>
  <si>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</si>
  <si>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</si>
  <si>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</si>
  <si>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</si>
  <si>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</si>
  <si>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</si>
  <si>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</si>
  <si>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</si>
  <si>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</si>
  <si>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</si>
  <si>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</si>
  <si>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</si>
  <si>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</si>
  <si>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</si>
  <si>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</si>
  <si>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</si>
  <si>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</si>
  <si>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</si>
  <si>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</si>
  <si>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</si>
  <si>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</si>
  <si>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</si>
  <si>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</si>
  <si>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</si>
  <si>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</si>
  <si>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</si>
  <si>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</si>
  <si>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</si>
  <si>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</si>
  <si>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</si>
  <si>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</si>
  <si>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</si>
  <si>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</si>
  <si>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</si>
  <si>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</si>
  <si>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</si>
  <si>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</si>
  <si>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</si>
  <si>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</si>
  <si>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</si>
  <si>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</si>
  <si>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</si>
  <si>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</si>
  <si>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</si>
  <si>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</si>
  <si>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</si>
  <si>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</si>
  <si>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</si>
  <si>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</si>
  <si>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</si>
  <si>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</si>
  <si>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</si>
  <si>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</si>
  <si>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</si>
  <si>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</si>
  <si>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</si>
  <si>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</si>
  <si>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</si>
  <si>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</si>
  <si>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</si>
  <si>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</si>
  <si>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</si>
  <si>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</si>
  <si>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</si>
  <si>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</si>
  <si>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</si>
  <si>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</si>
  <si>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</si>
  <si>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</si>
  <si>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</si>
  <si>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</si>
  <si>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</si>
  <si>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</si>
  <si>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</si>
  <si>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</si>
  <si>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</si>
  <si>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</si>
  <si>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</si>
  <si>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</si>
  <si>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</si>
  <si>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</si>
  <si>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</si>
  <si>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</si>
  <si>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</si>
  <si>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</si>
  <si>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</si>
  <si>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</si>
  <si>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</si>
  <si>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</si>
  <si>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</si>
  <si>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</si>
  <si>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</si>
  <si>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</si>
  <si>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</si>
  <si>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</si>
  <si>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</si>
  <si>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</si>
  <si>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</si>
  <si>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</si>
  <si>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</si>
  <si>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</si>
  <si>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</si>
  <si>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</si>
  <si>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</si>
  <si>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</si>
  <si>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</si>
  <si>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</si>
  <si>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</si>
  <si>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</si>
  <si>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</si>
  <si>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</si>
  <si>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</si>
  <si>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</si>
  <si>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</si>
  <si>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</si>
  <si>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</si>
  <si>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</si>
  <si>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</si>
  <si>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</si>
  <si>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</si>
  <si>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</si>
  <si>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</si>
  <si>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</si>
  <si>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</si>
  <si>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</si>
  <si>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</si>
  <si>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</si>
  <si>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</si>
  <si>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</si>
  <si>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</si>
  <si>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</si>
  <si>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</si>
  <si>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</si>
  <si>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</si>
  <si>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</si>
  <si>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</si>
  <si>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</si>
  <si>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</si>
  <si>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</si>
  <si>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</si>
  <si>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</si>
  <si>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</si>
  <si>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</si>
  <si>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</si>
  <si>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</si>
  <si>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</si>
  <si>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</si>
  <si>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</si>
  <si>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</si>
  <si>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</si>
  <si>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</si>
  <si>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</si>
  <si>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</si>
  <si>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</si>
  <si>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</si>
  <si>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</si>
  <si>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</si>
  <si>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</si>
  <si>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</si>
  <si>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</si>
  <si>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</si>
  <si>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</si>
  <si>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</si>
  <si>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</si>
  <si>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</si>
  <si>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</si>
  <si>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</si>
  <si>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</si>
  <si>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</si>
  <si>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</si>
  <si>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</si>
  <si>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</si>
  <si>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</si>
  <si>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</si>
  <si>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</si>
  <si>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</si>
  <si>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</si>
  <si>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</si>
  <si>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</si>
  <si>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</si>
  <si>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</si>
  <si>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</si>
  <si>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</si>
  <si>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</si>
  <si>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</si>
  <si>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</si>
  <si>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</si>
  <si>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</si>
  <si>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</si>
  <si>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</si>
  <si>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</si>
  <si>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</si>
  <si>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</si>
  <si>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</si>
  <si>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</si>
  <si>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</si>
  <si>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</si>
  <si>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</si>
  <si>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</si>
  <si>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</si>
  <si>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</si>
  <si>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</si>
  <si>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</si>
  <si>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</si>
  <si>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</si>
  <si>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</si>
  <si>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</si>
  <si>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</si>
  <si>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</si>
  <si>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</si>
  <si>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</si>
  <si>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</si>
  <si>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</si>
  <si>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</si>
  <si>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</si>
  <si>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</si>
  <si>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</si>
  <si>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</si>
  <si>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</si>
  <si>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</si>
  <si>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</si>
  <si>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</si>
  <si>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</si>
  <si>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</si>
  <si>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</si>
  <si>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</si>
  <si>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</si>
  <si>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</si>
  <si>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</si>
  <si>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</si>
  <si>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</si>
  <si>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</si>
  <si>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</si>
  <si>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</si>
  <si>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</si>
  <si>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</si>
  <si>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</si>
  <si>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</si>
  <si>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</si>
  <si>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</si>
  <si>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</si>
  <si>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</si>
  <si>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</si>
  <si>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</si>
  <si>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</si>
  <si>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</si>
  <si>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</si>
  <si>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</si>
  <si>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</si>
  <si>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</si>
  <si>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</si>
  <si>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</si>
  <si>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</si>
  <si>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</si>
  <si>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</si>
  <si>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</si>
  <si>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</si>
  <si>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</si>
  <si>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</si>
  <si>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</si>
  <si>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</si>
  <si>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</si>
  <si>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</si>
  <si>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</si>
  <si>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</si>
  <si>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</si>
  <si>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</si>
  <si>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</si>
  <si>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</si>
  <si>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</si>
  <si>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</si>
  <si>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</si>
  <si>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</si>
  <si>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</si>
  <si>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</si>
  <si>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</si>
  <si>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</si>
  <si>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</si>
  <si>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</si>
  <si>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</si>
  <si>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</si>
  <si>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</si>
  <si>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</si>
  <si>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</si>
  <si>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</si>
  <si>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</si>
  <si>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</si>
  <si>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</si>
  <si>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</si>
  <si>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</si>
  <si>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</si>
  <si>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</si>
  <si>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</si>
  <si>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</si>
  <si>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</si>
  <si>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</si>
  <si>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</si>
  <si>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</si>
  <si>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</si>
  <si>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</si>
  <si>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</si>
  <si>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</si>
  <si>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</si>
  <si>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</si>
  <si>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</si>
  <si>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</si>
  <si>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</si>
  <si>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</si>
  <si>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</si>
  <si>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</si>
  <si>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</si>
  <si>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</si>
  <si>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</si>
  <si>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</si>
  <si>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</si>
  <si>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</si>
  <si>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</si>
  <si>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</si>
  <si>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</si>
  <si>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</si>
  <si>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</si>
  <si>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</si>
  <si>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</si>
  <si>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</si>
  <si>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</si>
  <si>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</si>
  <si>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</si>
  <si>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</si>
  <si>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</si>
  <si>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</si>
  <si>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</si>
  <si>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</si>
  <si>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</si>
  <si>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</si>
  <si>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</si>
  <si>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</si>
  <si>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</si>
  <si>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</si>
  <si>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</si>
  <si>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</si>
  <si>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</si>
  <si>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</si>
  <si>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</si>
  <si>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</si>
  <si>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</si>
  <si>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</si>
  <si>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</si>
  <si>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</si>
  <si>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</si>
  <si>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</si>
  <si>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</si>
  <si>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</si>
  <si>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</si>
  <si>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</si>
  <si>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</si>
  <si>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</si>
  <si>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</si>
  <si>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</si>
  <si>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</si>
  <si>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</si>
  <si>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</si>
  <si>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</si>
  <si>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</si>
  <si>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</si>
  <si>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</si>
  <si>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</si>
  <si>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</si>
  <si>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</si>
  <si>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</si>
  <si>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</si>
  <si>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</si>
  <si>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</si>
  <si>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</si>
  <si>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</si>
  <si>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</si>
  <si>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</si>
  <si>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</si>
  <si>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</si>
  <si>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</si>
  <si>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</si>
  <si>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</si>
  <si>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</si>
  <si>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</si>
  <si>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</si>
  <si>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</si>
  <si>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</si>
  <si>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</si>
  <si>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</si>
  <si>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</si>
  <si>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</si>
  <si>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</si>
  <si>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</si>
  <si>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</si>
  <si>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</si>
  <si>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</si>
  <si>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</si>
  <si>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</si>
  <si>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</si>
  <si>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</si>
  <si>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</si>
  <si>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</si>
  <si>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</si>
  <si>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</si>
  <si>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</si>
  <si>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</si>
  <si>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</si>
  <si>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</si>
  <si>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</si>
  <si>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</si>
  <si>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</si>
  <si>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</si>
  <si>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</si>
  <si>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</si>
  <si>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</si>
  <si>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</si>
  <si>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</si>
  <si>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</si>
  <si>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</si>
  <si>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</si>
  <si>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</si>
  <si>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</si>
  <si>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</si>
  <si>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</si>
  <si>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</si>
  <si>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</si>
  <si>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</si>
  <si>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</si>
  <si>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</si>
  <si>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</si>
  <si>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</si>
  <si>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</si>
  <si>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</si>
  <si>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</si>
  <si>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</si>
  <si>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</si>
  <si>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</si>
  <si>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</si>
  <si>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</si>
  <si>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</si>
  <si>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</si>
  <si>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</si>
  <si>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</si>
  <si>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</si>
  <si>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</si>
  <si>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</si>
  <si>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</si>
  <si>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</si>
  <si>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</si>
  <si>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</si>
  <si>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</si>
  <si>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</si>
  <si>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</si>
  <si>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</si>
  <si>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</si>
  <si>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</si>
  <si>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</si>
  <si>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</si>
  <si>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</si>
  <si>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</si>
  <si>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</si>
  <si>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</si>
  <si>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</si>
  <si>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</si>
  <si>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</si>
  <si>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</si>
  <si>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</si>
  <si>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</si>
  <si>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</si>
  <si>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</si>
  <si>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</si>
  <si>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</si>
  <si>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</si>
  <si>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</si>
  <si>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</si>
  <si>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</si>
  <si>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</si>
  <si>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</si>
  <si>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</si>
  <si>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</si>
  <si>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</si>
  <si>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</si>
  <si>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</si>
  <si>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</si>
  <si>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</si>
  <si>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</si>
  <si>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</si>
  <si>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</si>
  <si>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</si>
  <si>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</si>
  <si>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</si>
  <si>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</si>
  <si>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</si>
  <si>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</si>
  <si>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</si>
  <si>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</si>
  <si>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</si>
  <si>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</si>
  <si>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</si>
  <si>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</si>
  <si>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</si>
  <si>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</si>
  <si>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</si>
  <si>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</si>
  <si>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</si>
  <si>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</si>
  <si>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</si>
  <si>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</si>
  <si>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</si>
  <si>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</si>
  <si>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</si>
  <si>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</si>
  <si>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</si>
  <si>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</si>
  <si>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</si>
  <si>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</si>
  <si>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</si>
  <si>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</si>
  <si>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</si>
  <si>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</si>
  <si>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</si>
  <si>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</si>
  <si>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</si>
  <si>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</si>
  <si>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</si>
  <si>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</si>
  <si>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</si>
  <si>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</si>
  <si>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</si>
  <si>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</si>
  <si>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</si>
  <si>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</si>
  <si>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</si>
  <si>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</si>
  <si>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</si>
  <si>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</si>
  <si>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</si>
  <si>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</si>
  <si>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</si>
  <si>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</si>
  <si>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</si>
  <si>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</si>
  <si>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</si>
  <si>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</si>
  <si>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</si>
  <si>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</si>
  <si>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</si>
  <si>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</si>
  <si>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</si>
  <si>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</si>
  <si>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</si>
  <si>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</si>
  <si>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</si>
  <si>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</si>
  <si>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</si>
  <si>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</si>
  <si>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</si>
  <si>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</si>
  <si>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</si>
  <si>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</si>
  <si>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</si>
  <si>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</si>
  <si>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</si>
  <si>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</si>
  <si>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</si>
  <si>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</si>
  <si>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</si>
  <si>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</si>
  <si>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</si>
  <si>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</si>
  <si>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</si>
  <si>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</si>
  <si>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</si>
  <si>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</si>
  <si>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</si>
  <si>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</si>
  <si>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</si>
  <si>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</si>
  <si>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</si>
  <si>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</si>
  <si>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</si>
  <si>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</si>
  <si>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</si>
  <si>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</si>
  <si>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</si>
  <si>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</si>
  <si>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</si>
  <si>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</si>
  <si>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</si>
  <si>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</si>
  <si>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</si>
  <si>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</si>
  <si>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</si>
  <si>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</si>
  <si>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</si>
  <si>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</si>
  <si>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</si>
  <si>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</si>
  <si>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</si>
  <si>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</si>
  <si>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</si>
  <si>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</si>
  <si>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</si>
  <si>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</si>
  <si>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</si>
  <si>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</si>
  <si>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</si>
  <si>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</si>
  <si>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</si>
  <si>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</si>
  <si>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</si>
  <si>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</si>
  <si>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</si>
  <si>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</si>
  <si>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</si>
  <si>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</si>
  <si>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</si>
  <si>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</si>
  <si>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</si>
  <si>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</si>
  <si>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</si>
  <si>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</si>
  <si>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</si>
  <si>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</si>
  <si>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</si>
  <si>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</si>
  <si>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</si>
  <si>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</si>
  <si>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</si>
  <si>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</si>
  <si>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</si>
  <si>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</si>
  <si>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</si>
  <si>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</si>
  <si>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</si>
  <si>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</si>
  <si>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</si>
  <si>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</si>
  <si>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</si>
  <si>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</si>
  <si>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</si>
  <si>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</si>
  <si>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</si>
  <si>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</si>
  <si>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</si>
  <si>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</si>
  <si>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</si>
  <si>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</si>
  <si>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</si>
  <si>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</si>
  <si>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</si>
  <si>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</si>
  <si>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</si>
  <si>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</si>
  <si>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</si>
  <si>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</si>
  <si>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</si>
  <si>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</si>
  <si>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</si>
  <si>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</si>
  <si>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</si>
  <si>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</si>
  <si>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</si>
  <si>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</si>
  <si>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</si>
  <si>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</si>
  <si>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</si>
  <si>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</si>
  <si>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</si>
  <si>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</si>
  <si>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</si>
  <si>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</si>
  <si>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</si>
  <si>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</si>
  <si>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</si>
  <si>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</si>
  <si>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</si>
  <si>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</si>
  <si>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</si>
  <si>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</si>
  <si>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</si>
  <si>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</si>
  <si>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</si>
  <si>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</si>
  <si>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</si>
  <si>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</si>
  <si>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</si>
  <si>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</si>
  <si>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</si>
  <si>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</si>
  <si>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</si>
  <si>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</si>
  <si>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</si>
  <si>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</si>
  <si>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</si>
  <si>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</si>
  <si>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</si>
  <si>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</si>
  <si>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</si>
  <si>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</si>
  <si>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</si>
  <si>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</si>
  <si>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</si>
  <si>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</si>
  <si>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</si>
  <si>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</si>
  <si>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</si>
  <si>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</si>
  <si>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</si>
  <si>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</si>
  <si>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</si>
  <si>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</si>
  <si>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</si>
  <si>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</si>
  <si>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</si>
  <si>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</si>
  <si>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</si>
  <si>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</si>
  <si>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</si>
  <si>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</si>
  <si>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</si>
  <si>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</si>
  <si>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</si>
  <si>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</si>
  <si>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</si>
  <si>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</si>
  <si>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</si>
  <si>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</si>
  <si>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</si>
  <si>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</si>
  <si>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</si>
  <si>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</si>
  <si>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</si>
  <si>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</si>
  <si>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</si>
  <si>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</si>
  <si>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</si>
  <si>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</si>
  <si>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</si>
  <si>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</si>
  <si>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</si>
  <si>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</si>
  <si>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</si>
  <si>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</si>
  <si>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</si>
  <si>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</si>
  <si>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</si>
  <si>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</si>
  <si>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</si>
  <si>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</si>
  <si>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</si>
  <si>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</si>
  <si>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</si>
  <si>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</si>
  <si>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</si>
  <si>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</si>
  <si>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</si>
  <si>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</si>
  <si>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</si>
  <si>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</si>
  <si>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</si>
  <si>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</si>
  <si>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</si>
  <si>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</si>
  <si>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</si>
  <si>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</si>
  <si>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</si>
  <si>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</si>
  <si>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</si>
  <si>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</si>
  <si>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</si>
  <si>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</si>
  <si>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</si>
  <si>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</si>
  <si>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</si>
  <si>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</si>
  <si>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</si>
  <si>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</si>
  <si>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</si>
  <si>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</si>
  <si>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</si>
  <si>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</si>
  <si>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</si>
  <si>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</si>
  <si>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</si>
  <si>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</si>
  <si>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</si>
  <si>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</si>
  <si>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</si>
  <si>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</si>
  <si>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</si>
  <si>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</si>
  <si>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</si>
  <si>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</si>
  <si>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</si>
  <si>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</si>
  <si>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</si>
  <si>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</si>
  <si>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</si>
  <si>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</si>
  <si>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</si>
  <si>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</si>
  <si>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</si>
  <si>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</si>
  <si>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</si>
  <si>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</si>
  <si>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</si>
  <si>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</si>
  <si>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</si>
  <si>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</si>
  <si>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</si>
  <si>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</si>
  <si>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</si>
  <si>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</si>
  <si>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</si>
  <si>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</si>
  <si>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</si>
  <si>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</si>
  <si>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</si>
  <si>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</si>
  <si>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</si>
  <si>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</si>
  <si>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</si>
  <si>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</si>
  <si>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</si>
  <si>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</si>
  <si>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</si>
  <si>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</si>
  <si>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</si>
  <si>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</si>
  <si>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</si>
  <si>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</si>
  <si>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</si>
  <si>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</si>
  <si>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</si>
  <si>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</si>
  <si>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</si>
  <si>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</si>
  <si>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</si>
  <si>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</si>
  <si>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</si>
  <si>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</si>
  <si>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</si>
  <si>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</si>
  <si>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</si>
  <si>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</si>
  <si>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</si>
  <si>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</si>
  <si>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</si>
  <si>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</si>
  <si>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</si>
  <si>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</si>
  <si>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</si>
  <si>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</si>
  <si>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</si>
  <si>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</si>
  <si>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</si>
  <si>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</si>
  <si>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</si>
  <si>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</si>
  <si>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</si>
  <si>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</si>
  <si>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</si>
  <si>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</si>
  <si>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</si>
  <si>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</si>
  <si>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</si>
  <si>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</si>
  <si>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</si>
  <si>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</si>
  <si>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</si>
  <si>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</si>
  <si>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</si>
  <si>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</si>
  <si>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</si>
  <si>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</si>
  <si>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</si>
  <si>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</si>
  <si>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</si>
  <si>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</si>
  <si>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</si>
  <si>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</si>
  <si>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</si>
  <si>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</si>
  <si>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</si>
  <si>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</si>
  <si>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</si>
  <si>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</si>
  <si>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</si>
  <si>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</si>
  <si>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</si>
  <si>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</si>
  <si>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</si>
  <si>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</si>
  <si>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</si>
  <si>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</si>
  <si>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</si>
  <si>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</si>
  <si>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</si>
  <si>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</si>
  <si>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</si>
  <si>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</si>
  <si>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</si>
  <si>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</si>
  <si>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</si>
  <si>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</si>
  <si>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</si>
  <si>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</si>
  <si>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</si>
  <si>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</si>
  <si>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</si>
  <si>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</si>
  <si>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</si>
  <si>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</si>
  <si>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</si>
  <si>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</si>
  <si>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</si>
  <si>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</si>
  <si>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</si>
  <si>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</si>
  <si>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</si>
  <si>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</si>
  <si>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</si>
  <si>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</si>
  <si>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</si>
  <si>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</si>
  <si>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</si>
  <si>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</si>
  <si>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</si>
  <si>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</si>
  <si>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</si>
  <si>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</si>
  <si>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</si>
  <si>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</si>
  <si>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</si>
  <si>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</si>
  <si>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</si>
  <si>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</si>
  <si>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</si>
  <si>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</si>
  <si>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</si>
  <si>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</si>
  <si>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</si>
  <si>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</si>
  <si>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</si>
  <si>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</si>
  <si>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</si>
  <si>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</si>
  <si>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</si>
  <si>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</si>
  <si>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</si>
  <si>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</si>
  <si>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</si>
  <si>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</si>
  <si>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</si>
  <si>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</si>
  <si>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</si>
  <si>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</si>
  <si>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</si>
  <si>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</si>
  <si>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</si>
  <si>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</si>
  <si>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</si>
  <si>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</si>
  <si>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</si>
  <si>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</si>
  <si>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</si>
  <si>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</si>
  <si>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</si>
  <si>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</si>
  <si>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</si>
  <si>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</si>
  <si>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</si>
  <si>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</si>
  <si>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</si>
  <si>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</si>
  <si>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</si>
  <si>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</si>
  <si>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</si>
  <si>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</si>
  <si>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</si>
  <si>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</si>
  <si>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</si>
  <si>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</si>
  <si>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</si>
  <si>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</si>
  <si>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</si>
  <si>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</si>
  <si>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</si>
  <si>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</si>
  <si>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</si>
  <si>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</si>
  <si>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</si>
  <si>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</si>
  <si>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</si>
  <si>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</si>
  <si>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</si>
  <si>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</si>
  <si>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</si>
  <si>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</si>
  <si>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</si>
  <si>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</si>
  <si>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</si>
  <si>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</si>
  <si>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</si>
  <si>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</si>
  <si>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</si>
  <si>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</si>
  <si>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</si>
  <si>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</si>
  <si>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</si>
  <si>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</si>
  <si>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</si>
  <si>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</si>
  <si>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</si>
  <si>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</si>
  <si>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</si>
  <si>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</si>
  <si>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</si>
  <si>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</si>
  <si>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</si>
  <si>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</si>
  <si>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</si>
  <si>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</si>
  <si>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</si>
  <si>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</si>
  <si>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</si>
  <si>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</si>
  <si>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</si>
  <si>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</si>
  <si>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</si>
  <si>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</si>
  <si>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</si>
  <si>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</si>
  <si>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</si>
  <si>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</si>
  <si>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</si>
  <si>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</si>
  <si>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</si>
  <si>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</si>
  <si>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</si>
  <si>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</si>
  <si>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</si>
  <si>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</si>
  <si>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</si>
  <si>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</si>
  <si>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</si>
  <si>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</si>
  <si>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</si>
  <si>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</si>
  <si>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</si>
  <si>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</si>
  <si>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</si>
  <si>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</si>
  <si>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</si>
  <si>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</si>
  <si>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</si>
  <si>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</si>
  <si>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</si>
  <si>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</si>
  <si>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</si>
  <si>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</si>
  <si>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</si>
  <si>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</si>
  <si>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</si>
  <si>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</si>
  <si>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</si>
  <si>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</si>
  <si>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</si>
  <si>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</si>
  <si>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</si>
  <si>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</si>
  <si>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</si>
  <si>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</si>
  <si>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</si>
  <si>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</si>
  <si>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</si>
  <si>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</si>
  <si>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</si>
  <si>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</si>
  <si>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</si>
  <si>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</si>
  <si>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</si>
  <si>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</si>
  <si>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</si>
  <si>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</si>
  <si>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</si>
  <si>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</si>
  <si>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</si>
  <si>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</si>
  <si>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</si>
  <si>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</si>
  <si>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</si>
  <si>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</si>
  <si>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</si>
  <si>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</si>
  <si>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</si>
  <si>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</si>
  <si>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</si>
  <si>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</si>
  <si>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</si>
  <si>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</si>
  <si>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</si>
  <si>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</si>
  <si>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</si>
  <si>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</si>
  <si>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</si>
  <si>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</si>
  <si>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</si>
  <si>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</si>
  <si>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</si>
  <si>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</si>
  <si>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</si>
  <si>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</si>
  <si>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</si>
  <si>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</si>
  <si>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</si>
  <si>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</si>
  <si>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</si>
  <si>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</si>
  <si>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</si>
  <si>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</si>
  <si>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</si>
  <si>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</si>
  <si>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</si>
  <si>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</si>
  <si>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</si>
  <si>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</si>
  <si>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</si>
  <si>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</si>
  <si>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</si>
  <si>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</si>
  <si>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</si>
  <si>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</si>
  <si>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</si>
  <si>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</si>
  <si>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</si>
  <si>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</si>
  <si>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</si>
  <si>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</si>
  <si>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</si>
  <si>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</si>
  <si>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</si>
  <si>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</si>
  <si>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</si>
  <si>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</si>
  <si>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</si>
  <si>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</si>
  <si>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</si>
  <si>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</si>
  <si>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</si>
  <si>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</si>
  <si>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</si>
  <si>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</si>
  <si>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</si>
  <si>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</si>
  <si>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</si>
  <si>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</si>
  <si>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</si>
  <si>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</si>
  <si>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</si>
  <si>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</si>
  <si>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</si>
  <si>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</si>
  <si>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</si>
  <si>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</si>
  <si>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</si>
  <si>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</si>
  <si>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</si>
  <si>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</si>
  <si>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</si>
  <si>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</si>
  <si>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</si>
  <si>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</si>
  <si>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</si>
  <si>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</si>
  <si>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</si>
  <si>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</si>
  <si>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</si>
  <si>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</si>
  <si>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</si>
  <si>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</si>
  <si>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</si>
  <si>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</si>
  <si>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</si>
  <si>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</si>
  <si>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</si>
  <si>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</si>
  <si>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</si>
  <si>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</si>
  <si>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</si>
  <si>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</si>
  <si>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</si>
  <si>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</si>
  <si>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</si>
  <si>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</si>
  <si>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</si>
  <si>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</si>
  <si>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</si>
  <si>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</si>
  <si>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</si>
  <si>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</si>
  <si>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</si>
  <si>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</si>
  <si>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</si>
  <si>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</si>
  <si>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</si>
  <si>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</si>
  <si>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</si>
  <si>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</si>
  <si>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</si>
  <si>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</si>
  <si>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</si>
  <si>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</si>
  <si>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</si>
  <si>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</si>
  <si>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</si>
  <si>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</si>
  <si>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</si>
  <si>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</si>
  <si>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</si>
  <si>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</si>
  <si>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</si>
  <si>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</si>
  <si>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</si>
  <si>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</si>
  <si>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</si>
  <si>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</si>
  <si>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</si>
  <si>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</si>
  <si>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</si>
  <si>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</si>
  <si>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</si>
  <si>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</si>
  <si>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</si>
  <si>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</si>
  <si>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</si>
  <si>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</si>
  <si>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</si>
  <si>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</si>
  <si>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</si>
  <si>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</si>
  <si>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</si>
  <si>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</si>
  <si>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</si>
  <si>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</si>
  <si>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</si>
  <si>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</si>
  <si>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</si>
  <si>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</si>
  <si>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</si>
  <si>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</si>
  <si>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</si>
  <si>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</si>
  <si>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</si>
  <si>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</si>
  <si>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</si>
  <si>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</si>
  <si>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</si>
  <si>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</si>
  <si>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</si>
  <si>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</si>
  <si>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</si>
  <si>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</si>
  <si>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</si>
  <si>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</si>
  <si>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</si>
  <si>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</si>
  <si>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</si>
  <si>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</si>
  <si>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</si>
  <si>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</si>
  <si>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</si>
  <si>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</si>
  <si>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</si>
  <si>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</si>
  <si>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</si>
  <si>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</si>
  <si>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</si>
  <si>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</si>
  <si>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</si>
  <si>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</si>
  <si>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</si>
  <si>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</si>
  <si>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</si>
  <si>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</si>
  <si>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</si>
  <si>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</si>
  <si>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</si>
  <si>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</si>
  <si>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</si>
  <si>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</si>
  <si>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</si>
  <si>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</si>
  <si>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</si>
  <si>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</si>
  <si>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</si>
  <si>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</si>
  <si>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</si>
  <si>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</si>
  <si>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</si>
  <si>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</si>
  <si>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</si>
  <si>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</si>
  <si>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</si>
  <si>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</si>
  <si>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</si>
  <si>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</si>
  <si>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</si>
  <si>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</si>
  <si>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</si>
  <si>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</si>
  <si>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</si>
  <si>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</si>
  <si>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</si>
  <si>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</si>
  <si>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</si>
  <si>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</si>
  <si>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</si>
  <si>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</si>
  <si>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</si>
  <si>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</si>
  <si>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</si>
  <si>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</si>
  <si>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</si>
  <si>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</si>
  <si>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</si>
  <si>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</si>
  <si>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</si>
  <si>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</si>
  <si>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</si>
  <si>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</si>
  <si>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</si>
  <si>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</si>
  <si>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</si>
  <si>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</si>
  <si>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</si>
  <si>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</si>
  <si>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</si>
  <si>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</si>
  <si>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</si>
  <si>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</si>
  <si>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</si>
  <si>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</si>
  <si>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</si>
  <si>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</si>
  <si>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</si>
  <si>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</si>
  <si>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</si>
  <si>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</si>
  <si>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</si>
  <si>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</si>
  <si>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</si>
  <si>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</si>
  <si>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</si>
  <si>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</si>
  <si>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</si>
  <si>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</si>
  <si>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</si>
  <si>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</si>
  <si>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</si>
  <si>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</si>
  <si>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</si>
  <si>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</si>
  <si>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</si>
  <si>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</si>
  <si>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</si>
  <si>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</si>
  <si>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</si>
  <si>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</si>
  <si>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</si>
  <si>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</si>
  <si>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</si>
  <si>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</si>
  <si>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</si>
  <si>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</si>
  <si>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</si>
  <si>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</si>
  <si>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</si>
  <si>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</si>
  <si>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</si>
  <si>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</si>
  <si>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</si>
  <si>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</si>
  <si>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</si>
  <si>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</si>
  <si>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</si>
  <si>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</si>
  <si>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</si>
  <si>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</si>
  <si>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</si>
  <si>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</si>
  <si>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</si>
  <si>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</si>
  <si>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</si>
  <si>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</si>
  <si>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</si>
  <si>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</si>
  <si>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</si>
  <si>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</si>
  <si>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</si>
  <si>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</si>
  <si>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</si>
  <si>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</si>
  <si>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</si>
  <si>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</si>
  <si>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</si>
  <si>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</si>
  <si>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</si>
  <si>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</si>
  <si>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</si>
  <si>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</si>
  <si>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</si>
  <si>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</si>
  <si>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</si>
  <si>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</si>
  <si>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</si>
  <si>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</si>
  <si>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</si>
  <si>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</si>
  <si>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</si>
  <si>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</si>
  <si>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</si>
  <si>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</si>
  <si>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</si>
  <si>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</si>
  <si>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</si>
  <si>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</si>
  <si>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</si>
  <si>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</si>
  <si>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</si>
  <si>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</si>
  <si>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</si>
  <si>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</si>
  <si>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</si>
  <si>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</si>
  <si>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</si>
  <si>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</si>
  <si>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</si>
  <si>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</si>
  <si>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</si>
  <si>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</si>
  <si>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</si>
  <si>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</si>
  <si>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</si>
  <si>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</si>
  <si>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</si>
  <si>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</si>
  <si>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</si>
  <si>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</si>
  <si>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</si>
  <si>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</si>
  <si>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</si>
  <si>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</si>
  <si>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</si>
  <si>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</si>
  <si>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</si>
  <si>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</si>
  <si>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</si>
  <si>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</si>
  <si>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</si>
  <si>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</si>
  <si>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</si>
  <si>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</si>
  <si>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</si>
  <si>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</si>
  <si>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</si>
  <si>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</si>
  <si>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</si>
  <si>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</si>
  <si>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</si>
  <si>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</si>
  <si>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</si>
  <si>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</si>
  <si>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</si>
  <si>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</si>
  <si>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</si>
  <si>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</si>
  <si>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</si>
  <si>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</si>
  <si>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</si>
  <si>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</si>
  <si>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</si>
  <si>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</si>
  <si>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</si>
  <si>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</si>
  <si>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</si>
  <si>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</si>
  <si>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</si>
  <si>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</si>
  <si>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</si>
  <si>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</si>
  <si>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</si>
  <si>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</si>
  <si>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</si>
  <si>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</si>
  <si>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</si>
  <si>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</si>
  <si>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</si>
  <si>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</si>
  <si>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</si>
  <si>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</si>
  <si>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</si>
  <si>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</si>
  <si>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</si>
  <si>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</si>
  <si>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</si>
  <si>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</si>
  <si>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</si>
  <si>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</si>
  <si>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</si>
  <si>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</si>
  <si>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</si>
  <si>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</si>
  <si>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</si>
  <si>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</si>
  <si>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</si>
  <si>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</si>
  <si>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</si>
  <si>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</si>
  <si>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</si>
  <si>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</si>
  <si>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</si>
  <si>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</si>
  <si>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</si>
  <si>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</si>
  <si>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</si>
  <si>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</si>
  <si>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</si>
  <si>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</si>
  <si>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</si>
  <si>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</si>
  <si>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</si>
  <si>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</si>
  <si>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</si>
  <si>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</si>
  <si>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</si>
  <si>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</si>
  <si>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</si>
  <si>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</si>
  <si>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</si>
  <si>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</si>
  <si>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</si>
  <si>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</si>
  <si>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</si>
  <si>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</si>
  <si>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</si>
  <si>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</si>
  <si>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</si>
  <si>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</si>
  <si>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</si>
  <si>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</si>
  <si>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</si>
  <si>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</si>
  <si>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</si>
  <si>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</si>
  <si>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</si>
  <si>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</si>
  <si>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</si>
  <si>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</si>
  <si>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</si>
  <si>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</si>
  <si>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</si>
  <si>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</si>
  <si>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</si>
  <si>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</si>
  <si>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</si>
  <si>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</si>
  <si>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</si>
  <si>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</si>
  <si>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</si>
  <si>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</si>
  <si>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</si>
  <si>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</si>
  <si>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</si>
  <si>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</si>
  <si>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</si>
  <si>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</si>
  <si>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</si>
  <si>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</si>
  <si>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</si>
  <si>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</si>
  <si>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</si>
  <si>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</si>
  <si>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</si>
  <si>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</si>
  <si>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</si>
  <si>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</si>
  <si>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</si>
  <si>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</si>
  <si>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</si>
  <si>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</si>
  <si>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</si>
  <si>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</si>
  <si>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</si>
  <si>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</si>
  <si>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</si>
  <si>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</si>
  <si>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</si>
  <si>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</si>
  <si>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</si>
  <si>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</si>
  <si>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</si>
  <si>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</si>
  <si>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</si>
  <si>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</si>
  <si>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</si>
  <si>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</si>
  <si>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</si>
  <si>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</si>
  <si>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</si>
  <si>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</si>
  <si>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</si>
  <si>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</si>
  <si>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</si>
  <si>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</si>
  <si>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</si>
  <si>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</si>
  <si>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</si>
  <si>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</si>
  <si>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</si>
  <si>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</si>
  <si>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</si>
  <si>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</si>
  <si>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</si>
  <si>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</si>
  <si>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</si>
  <si>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</si>
  <si>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</si>
  <si>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</si>
  <si>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</si>
  <si>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</si>
  <si>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</si>
  <si>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</si>
  <si>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</si>
  <si>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</si>
  <si>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</si>
  <si>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</si>
  <si>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</si>
  <si>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</si>
  <si>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</si>
  <si>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</si>
  <si>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</si>
  <si>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</si>
  <si>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</si>
  <si>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</si>
  <si>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</si>
  <si>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</si>
  <si>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</si>
  <si>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</si>
  <si>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</si>
  <si>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</si>
  <si>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</si>
  <si>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</si>
  <si>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</si>
  <si>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</si>
  <si>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</si>
  <si>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</si>
  <si>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</si>
  <si>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</si>
  <si>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</si>
  <si>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</si>
  <si>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</si>
  <si>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</si>
  <si>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</si>
  <si>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</si>
  <si>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</si>
  <si>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</si>
  <si>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</si>
  <si>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</si>
  <si>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</si>
  <si>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</si>
  <si>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</si>
  <si>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</si>
  <si>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</si>
  <si>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</si>
  <si>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</si>
  <si>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</si>
  <si>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</si>
  <si>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</si>
  <si>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</si>
  <si>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</si>
  <si>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</si>
  <si>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</si>
  <si>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</si>
  <si>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</si>
  <si>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</si>
  <si>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</si>
  <si>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</si>
  <si>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</si>
  <si>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</si>
  <si>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</si>
  <si>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</si>
  <si>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</si>
  <si>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</si>
  <si>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</si>
  <si>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</si>
  <si>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</si>
  <si>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</si>
  <si>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</si>
  <si>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</si>
  <si>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</si>
  <si>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</si>
  <si>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</si>
  <si>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</si>
  <si>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</si>
  <si>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</si>
  <si>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</si>
  <si>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</si>
  <si>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</si>
  <si>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</si>
  <si>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</si>
  <si>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</si>
  <si>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</si>
  <si>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</si>
  <si>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</si>
  <si>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</si>
  <si>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</si>
  <si>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</si>
  <si>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</si>
  <si>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</si>
  <si>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</si>
  <si>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</si>
  <si>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</si>
  <si>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</si>
  <si>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</si>
  <si>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</si>
  <si>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</si>
  <si>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</si>
  <si>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</si>
  <si>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</si>
  <si>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</si>
  <si>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</si>
  <si>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</si>
  <si>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</si>
  <si>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</si>
  <si>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</si>
  <si>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</si>
  <si>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</si>
  <si>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</si>
  <si>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</si>
  <si>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</si>
  <si>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</si>
  <si>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</si>
  <si>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</si>
  <si>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</si>
  <si>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</si>
  <si>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</si>
  <si>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</si>
  <si>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</si>
  <si>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</si>
  <si>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</si>
  <si>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</si>
  <si>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</si>
  <si>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</si>
  <si>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</si>
  <si>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</si>
  <si>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</si>
  <si>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</si>
  <si>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</si>
  <si>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</si>
  <si>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</si>
  <si>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</si>
  <si>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</si>
  <si>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</si>
  <si>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</si>
  <si>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</si>
  <si>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</si>
  <si>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</si>
  <si>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</si>
  <si>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</si>
  <si>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</si>
  <si>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</si>
  <si>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</si>
  <si>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</si>
  <si>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</si>
  <si>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</si>
  <si>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</si>
  <si>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</si>
  <si>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</si>
  <si>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</si>
  <si>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</si>
  <si>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</si>
  <si>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</si>
  <si>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</si>
  <si>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</si>
  <si>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</si>
  <si>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</si>
  <si>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</si>
  <si>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</si>
  <si>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</si>
  <si>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</si>
  <si>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</si>
  <si>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</si>
  <si>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</si>
  <si>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</si>
  <si>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</si>
  <si>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</si>
  <si>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</si>
  <si>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</si>
  <si>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</si>
  <si>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</si>
  <si>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</si>
  <si>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</si>
  <si>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</si>
  <si>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</si>
  <si>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</si>
  <si>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</si>
  <si>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</si>
  <si>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</si>
  <si>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</si>
  <si>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</si>
  <si>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</si>
  <si>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</si>
  <si>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</si>
  <si>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</si>
  <si>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</si>
  <si>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</si>
  <si>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</si>
  <si>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</si>
  <si>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</si>
  <si>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</si>
  <si>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</si>
  <si>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</si>
  <si>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</si>
  <si>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</si>
  <si>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</si>
  <si>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</si>
  <si>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</si>
  <si>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</si>
  <si>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</si>
  <si>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</si>
  <si>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</si>
  <si>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</si>
  <si>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</si>
  <si>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</si>
  <si>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</si>
  <si>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</si>
  <si>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</si>
  <si>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</si>
  <si>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</si>
  <si>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</si>
  <si>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</si>
  <si>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</si>
  <si>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</si>
  <si>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</si>
  <si>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</si>
  <si>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</si>
  <si>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</si>
  <si>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</si>
  <si>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</si>
  <si>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</si>
  <si>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</si>
  <si>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</si>
  <si>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</si>
  <si>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</si>
  <si>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</si>
  <si>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</si>
  <si>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</si>
  <si>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</si>
  <si>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</si>
  <si>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</si>
  <si>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</si>
  <si>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</si>
  <si>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</si>
  <si>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</si>
  <si>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</si>
  <si>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</si>
  <si>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</si>
  <si>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</si>
  <si>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</si>
  <si>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</si>
  <si>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</si>
  <si>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</si>
  <si>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</si>
  <si>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</si>
  <si>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</si>
  <si>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</si>
  <si>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</si>
  <si>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</si>
  <si>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</si>
  <si>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</si>
  <si>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</si>
  <si>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</si>
  <si>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</si>
  <si>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</si>
  <si>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</si>
  <si>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</si>
  <si>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</si>
  <si>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</si>
  <si>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</si>
  <si>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</si>
  <si>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</si>
  <si>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</si>
  <si>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</si>
  <si>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</si>
  <si>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</si>
  <si>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</si>
  <si>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</si>
  <si>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</si>
  <si>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</si>
  <si>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</si>
  <si>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</si>
  <si>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</si>
  <si>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</si>
  <si>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</si>
  <si>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</si>
  <si>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</si>
  <si>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</si>
  <si>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</si>
  <si>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</si>
  <si>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</si>
  <si>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</si>
  <si>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</si>
  <si>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</si>
  <si>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</si>
  <si>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</si>
  <si>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</si>
  <si>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</si>
  <si>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</si>
  <si>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</si>
  <si>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</si>
  <si>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</si>
  <si>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</si>
  <si>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</si>
  <si>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</si>
  <si>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</si>
  <si>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</si>
  <si>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</si>
  <si>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</si>
  <si>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</si>
  <si>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</si>
  <si>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</si>
  <si>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</si>
  <si>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</si>
  <si>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</si>
  <si>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</si>
  <si>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</si>
  <si>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</si>
  <si>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</si>
  <si>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</si>
  <si>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</si>
  <si>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</si>
  <si>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</si>
  <si>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</si>
  <si>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</si>
  <si>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</si>
  <si>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</si>
  <si>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</si>
  <si>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</si>
  <si>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</si>
  <si>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</si>
  <si>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</si>
  <si>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</si>
  <si>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</si>
  <si>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</si>
  <si>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</si>
  <si>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</si>
  <si>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</si>
  <si>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</si>
  <si>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</si>
  <si>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</si>
  <si>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</si>
  <si>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</si>
  <si>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</si>
  <si>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</si>
  <si>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</si>
  <si>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</si>
  <si>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</si>
  <si>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</si>
  <si>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</si>
  <si>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</si>
  <si>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</si>
  <si>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</si>
  <si>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</si>
  <si>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</si>
  <si>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</si>
  <si>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</si>
  <si>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</si>
  <si>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</si>
  <si>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</si>
  <si>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</si>
  <si>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</si>
  <si>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</si>
  <si>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</si>
  <si>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</si>
  <si>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</si>
  <si>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</si>
  <si>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</si>
  <si>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</si>
  <si>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</si>
  <si>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</si>
  <si>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</si>
  <si>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</si>
  <si>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</si>
  <si>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</si>
  <si>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</si>
  <si>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</si>
  <si>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</si>
  <si>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</si>
  <si>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</si>
  <si>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</si>
  <si>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</si>
  <si>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</si>
  <si>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</si>
  <si>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</si>
  <si>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</si>
  <si>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</si>
  <si>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</si>
  <si>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</si>
  <si>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</si>
  <si>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</si>
  <si>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</si>
  <si>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</si>
  <si>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</si>
  <si>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</si>
  <si>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</si>
  <si>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</si>
  <si>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</si>
  <si>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</si>
  <si>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</si>
  <si>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</si>
  <si>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</si>
  <si>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</si>
  <si>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</si>
  <si>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</si>
  <si>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</si>
  <si>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</si>
  <si>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</si>
  <si>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</si>
  <si>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</si>
  <si>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</si>
  <si>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</si>
  <si>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</si>
  <si>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</si>
  <si>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</si>
  <si>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</si>
  <si>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</si>
  <si>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</si>
  <si>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</si>
  <si>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</si>
  <si>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</si>
  <si>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</si>
  <si>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</si>
  <si>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</si>
  <si>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</si>
  <si>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</si>
  <si>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</si>
  <si>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</si>
  <si>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</si>
  <si>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</si>
  <si>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</si>
  <si>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</si>
  <si>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</si>
  <si>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</si>
  <si>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</si>
  <si>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</si>
  <si>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</si>
  <si>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</si>
  <si>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</si>
  <si>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</si>
  <si>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</si>
  <si>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</si>
  <si>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</si>
  <si>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</si>
  <si>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</si>
  <si>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</si>
  <si>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</si>
  <si>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</si>
  <si>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</si>
  <si>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</si>
  <si>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</si>
  <si>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</si>
  <si>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</si>
  <si>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</si>
  <si>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</si>
  <si>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</si>
  <si>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</si>
  <si>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</si>
  <si>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</si>
  <si>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</si>
  <si>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</si>
  <si>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</si>
  <si>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</si>
  <si>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</si>
  <si>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</si>
  <si>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</si>
  <si>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</si>
  <si>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</si>
  <si>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</si>
  <si>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</si>
  <si>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</si>
  <si>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</si>
  <si>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</si>
  <si>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</si>
  <si>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</si>
  <si>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</si>
  <si>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</si>
  <si>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</si>
  <si>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</si>
  <si>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</si>
  <si>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</si>
  <si>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</si>
  <si>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</si>
  <si>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</si>
  <si>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</si>
  <si>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</si>
  <si>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</si>
  <si>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</si>
  <si>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</si>
  <si>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</si>
  <si>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</si>
  <si>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</si>
  <si>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</si>
  <si>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</si>
  <si>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</si>
  <si>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</si>
  <si>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</si>
  <si>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</si>
  <si>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</si>
  <si>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</si>
  <si>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</si>
  <si>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</si>
  <si>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</si>
  <si>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</si>
  <si>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</si>
  <si>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</si>
  <si>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</si>
  <si>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</si>
  <si>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</si>
  <si>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</si>
  <si>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</si>
  <si>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</si>
  <si>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</si>
  <si>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</si>
  <si>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</si>
  <si>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</si>
  <si>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</si>
  <si>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</si>
  <si>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</si>
  <si>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</si>
  <si>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</si>
  <si>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</si>
  <si>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</si>
  <si>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</si>
  <si>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</si>
  <si>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</si>
  <si>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</si>
  <si>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</si>
  <si>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</si>
  <si>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</si>
  <si>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</si>
  <si>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</si>
  <si>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</si>
  <si>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</si>
  <si>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</si>
  <si>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</si>
  <si>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</si>
  <si>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</si>
  <si>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</si>
  <si>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</si>
  <si>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</si>
  <si>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</si>
  <si>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</si>
  <si>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</si>
  <si>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</si>
  <si>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</si>
  <si>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</si>
  <si>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</si>
  <si>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</si>
  <si>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</si>
  <si>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</si>
  <si>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</si>
  <si>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</si>
  <si>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</si>
  <si>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</si>
  <si>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</si>
  <si>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</si>
  <si>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</si>
  <si>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</si>
  <si>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</si>
  <si>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</si>
  <si>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</si>
  <si>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</si>
  <si>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</si>
  <si>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</si>
  <si>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</si>
  <si>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</si>
  <si>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</si>
  <si>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</si>
  <si>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</si>
  <si>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</si>
  <si>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</si>
  <si>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</si>
  <si>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</si>
  <si>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</si>
  <si>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</si>
  <si>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</si>
  <si>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</si>
  <si>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</si>
  <si>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</si>
  <si>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</si>
  <si>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</si>
  <si>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</si>
  <si>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</si>
  <si>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</si>
  <si>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</si>
  <si>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</si>
  <si>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</si>
  <si>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</si>
  <si>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</si>
  <si>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</si>
  <si>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</si>
  <si>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</si>
  <si>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</si>
  <si>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</si>
  <si>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</si>
  <si>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</si>
  <si>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</si>
  <si>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</si>
  <si>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</si>
  <si>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</si>
  <si>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</si>
  <si>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</si>
  <si>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</si>
  <si>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</si>
  <si>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</si>
  <si>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</si>
  <si>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</si>
  <si>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</si>
  <si>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</si>
  <si>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</si>
  <si>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</si>
  <si>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</si>
  <si>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</si>
  <si>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</si>
  <si>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</si>
  <si>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</si>
  <si>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</si>
  <si>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</si>
  <si>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</si>
  <si>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</si>
  <si>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</si>
  <si>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</si>
  <si>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</si>
  <si>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</si>
  <si>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</si>
  <si>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</si>
  <si>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</si>
  <si>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</si>
  <si>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</si>
  <si>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</si>
  <si>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</si>
  <si>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</si>
  <si>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</si>
  <si>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</si>
  <si>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</si>
  <si>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</si>
  <si>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</si>
  <si>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</si>
  <si>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</si>
  <si>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</si>
  <si>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</si>
  <si>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</si>
  <si>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</si>
  <si>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</si>
  <si>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</si>
  <si>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</si>
  <si>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</si>
  <si>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</si>
  <si>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</si>
  <si>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</si>
  <si>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</si>
  <si>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</si>
  <si>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</si>
  <si>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</si>
  <si>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</si>
  <si>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</si>
  <si>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</si>
  <si>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</si>
  <si>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</si>
  <si>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</si>
  <si>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</si>
  <si>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</si>
  <si>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</si>
  <si>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</si>
  <si>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</si>
  <si>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</si>
  <si>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</si>
  <si>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</si>
  <si>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</si>
  <si>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</si>
  <si>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</si>
  <si>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</si>
  <si>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</si>
  <si>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</si>
  <si>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</si>
  <si>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</si>
  <si>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</si>
  <si>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</si>
  <si>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</si>
  <si>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</si>
  <si>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</si>
  <si>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</si>
  <si>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</si>
  <si>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</si>
  <si>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</si>
  <si>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</si>
  <si>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</si>
  <si>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</si>
  <si>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</si>
  <si>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</si>
  <si>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</si>
  <si>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</si>
  <si>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</si>
  <si>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</si>
  <si>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</si>
  <si>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</si>
  <si>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</si>
  <si>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</si>
  <si>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</si>
  <si>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</si>
  <si>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</si>
  <si>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</si>
  <si>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</si>
  <si>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</si>
  <si>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</si>
  <si>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</si>
  <si>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</si>
  <si>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</si>
  <si>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</si>
  <si>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</si>
  <si>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</si>
  <si>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</si>
  <si>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</si>
  <si>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</si>
  <si>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</si>
  <si>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</si>
  <si>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</si>
  <si>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</si>
  <si>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</si>
  <si>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</si>
  <si>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</si>
  <si>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</si>
  <si>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</si>
  <si>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</si>
  <si>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</si>
  <si>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</si>
  <si>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</si>
  <si>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</si>
  <si>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</si>
  <si>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</si>
  <si>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</si>
  <si>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</si>
  <si>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</si>
  <si>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</si>
  <si>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</si>
  <si>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</si>
  <si>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</si>
  <si>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</si>
  <si>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</si>
  <si>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</si>
  <si>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</si>
  <si>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</si>
  <si>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</si>
  <si>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</si>
  <si>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</si>
  <si>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</si>
  <si>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</si>
  <si>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</si>
  <si>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</si>
  <si>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</si>
  <si>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</si>
  <si>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</si>
  <si>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</si>
  <si>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</si>
  <si>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</si>
  <si>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</si>
  <si>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</si>
  <si>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</si>
  <si>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</si>
  <si>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</si>
  <si>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</si>
  <si>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</si>
  <si>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</si>
  <si>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</si>
  <si>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</si>
  <si>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</si>
  <si>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</si>
  <si>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</si>
  <si>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</si>
  <si>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</si>
  <si>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</si>
  <si>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</si>
  <si>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</si>
  <si>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</si>
  <si>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</si>
  <si>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</si>
  <si>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</si>
  <si>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</si>
  <si>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</si>
  <si>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</si>
  <si>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</si>
  <si>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</si>
  <si>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</si>
  <si>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</si>
  <si>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</si>
  <si>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</si>
  <si>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</si>
  <si>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</si>
  <si>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</si>
  <si>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</si>
  <si>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</si>
  <si>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</si>
  <si>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</si>
  <si>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</si>
  <si>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</si>
  <si>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</si>
  <si>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</si>
  <si>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</si>
  <si>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</si>
  <si>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</si>
  <si>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</si>
  <si>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</si>
  <si>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</si>
  <si>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</si>
  <si>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</si>
  <si>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</si>
  <si>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</si>
  <si>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</si>
  <si>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</si>
  <si>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</si>
  <si>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</si>
  <si>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</si>
  <si>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</si>
  <si>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</si>
  <si>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</si>
  <si>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</si>
  <si>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</si>
  <si>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</si>
  <si>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</si>
  <si>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</si>
  <si>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</si>
  <si>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</si>
  <si>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</si>
  <si>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</si>
  <si>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</si>
  <si>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</si>
  <si>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</si>
  <si>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</si>
  <si>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</si>
  <si>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</si>
  <si>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</si>
  <si>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</si>
  <si>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</si>
  <si>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</si>
  <si>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</si>
  <si>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</si>
  <si>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</si>
  <si>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</si>
  <si>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</si>
  <si>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</si>
  <si>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</si>
  <si>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</si>
  <si>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</si>
  <si>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</si>
  <si>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</si>
  <si>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</si>
  <si>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</si>
  <si>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</si>
  <si>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</si>
  <si>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</si>
  <si>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</si>
  <si>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</si>
  <si>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</si>
  <si>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</si>
  <si>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</si>
  <si>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</si>
  <si>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</si>
  <si>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</si>
  <si>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</si>
  <si>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</si>
  <si>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</si>
  <si>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</si>
  <si>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</si>
  <si>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</si>
  <si>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</si>
  <si>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</si>
  <si>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</si>
  <si>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</si>
  <si>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</si>
  <si>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</si>
  <si>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</si>
  <si>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</si>
  <si>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</si>
  <si>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</si>
  <si>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</si>
  <si>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</si>
  <si>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</si>
  <si>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</si>
  <si>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</si>
  <si>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</si>
  <si>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</si>
  <si>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</si>
  <si>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</si>
  <si>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</si>
  <si>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</si>
  <si>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</si>
  <si>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</si>
  <si>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</si>
  <si>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</si>
  <si>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</si>
  <si>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</si>
  <si>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</si>
  <si>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</si>
  <si>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</si>
  <si>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</si>
  <si>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</si>
  <si>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</si>
  <si>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</si>
  <si>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</si>
  <si>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</si>
  <si>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</si>
  <si>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</si>
  <si>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</si>
  <si>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</si>
  <si>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</si>
  <si>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</si>
  <si>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</si>
  <si>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</si>
  <si>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</si>
  <si>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</si>
  <si>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</si>
  <si>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</si>
  <si>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</si>
  <si>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</si>
  <si>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</si>
  <si>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</si>
  <si>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</si>
  <si>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</si>
  <si>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</si>
  <si>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</si>
  <si>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</si>
  <si>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</si>
  <si>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</si>
  <si>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</si>
  <si>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</si>
  <si>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</si>
  <si>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</si>
  <si>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</si>
  <si>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</si>
  <si>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</si>
  <si>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</si>
  <si>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</si>
  <si>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</si>
  <si>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</si>
  <si>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</si>
  <si>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</si>
  <si>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</si>
  <si>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</si>
  <si>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</si>
  <si>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</si>
  <si>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</si>
  <si>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</si>
  <si>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</si>
  <si>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</si>
  <si>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</si>
  <si>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</si>
  <si>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</si>
  <si>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</si>
  <si>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</si>
  <si>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</si>
  <si>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</si>
  <si>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</si>
  <si>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</si>
  <si>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</si>
  <si>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</si>
  <si>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</si>
  <si>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</si>
  <si>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</si>
  <si>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</si>
  <si>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</si>
  <si>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</si>
  <si>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</si>
  <si>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</si>
  <si>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</si>
  <si>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</si>
  <si>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</si>
  <si>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</si>
  <si>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</si>
  <si>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</si>
  <si>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</si>
  <si>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</si>
  <si>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</si>
  <si>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</si>
  <si>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</si>
  <si>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</si>
  <si>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</si>
  <si>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</si>
  <si>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</si>
  <si>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</si>
  <si>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</si>
  <si>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</si>
  <si>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</si>
  <si>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</si>
  <si>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</si>
  <si>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</si>
  <si>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</si>
  <si>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</si>
  <si>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</si>
  <si>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</si>
  <si>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</si>
  <si>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</si>
  <si>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</si>
  <si>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</si>
  <si>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</si>
  <si>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</si>
  <si>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</si>
  <si>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</si>
  <si>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</si>
  <si>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</si>
  <si>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</si>
  <si>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</si>
  <si>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</si>
  <si>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</si>
  <si>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</si>
  <si>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</si>
  <si>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</si>
  <si>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</si>
  <si>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</si>
  <si>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</si>
  <si>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</si>
  <si>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</si>
  <si>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</si>
  <si>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</si>
  <si>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</si>
  <si>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</si>
  <si>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</si>
  <si>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</si>
  <si>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</si>
  <si>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</si>
  <si>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</si>
  <si>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</si>
  <si>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</si>
  <si>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</si>
  <si>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</si>
  <si>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</si>
  <si>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</si>
  <si>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</si>
  <si>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</si>
  <si>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</si>
  <si>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</si>
  <si>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</si>
  <si>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</si>
  <si>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</si>
  <si>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</si>
  <si>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</si>
  <si>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</si>
  <si>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</si>
  <si>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</si>
  <si>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</si>
  <si>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</si>
  <si>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</si>
  <si>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</si>
  <si>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</si>
  <si>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</si>
  <si>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</si>
  <si>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</si>
  <si>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</si>
  <si>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</si>
  <si>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</si>
  <si>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</si>
  <si>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</si>
  <si>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</si>
  <si>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</si>
  <si>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</si>
  <si>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</si>
  <si>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</si>
  <si>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</si>
  <si>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</si>
  <si>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</si>
  <si>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</si>
  <si>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</si>
  <si>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</si>
  <si>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</si>
  <si>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</si>
  <si>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</si>
  <si>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</si>
  <si>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</si>
  <si>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</si>
  <si>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</si>
  <si>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</si>
  <si>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</si>
  <si>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</si>
  <si>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</si>
  <si>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</si>
  <si>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</si>
  <si>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</si>
  <si>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</si>
  <si>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</si>
  <si>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</si>
  <si>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</si>
  <si>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</si>
  <si>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</si>
  <si>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</si>
  <si>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</si>
  <si>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</si>
  <si>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</si>
  <si>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</si>
  <si>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</si>
  <si>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</si>
  <si>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</si>
  <si>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</si>
  <si>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</si>
  <si>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</si>
  <si>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</si>
  <si>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</si>
  <si>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</si>
  <si>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</si>
  <si>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</si>
  <si>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</si>
  <si>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</si>
  <si>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</si>
  <si>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</si>
  <si>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</si>
  <si>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</si>
  <si>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</si>
  <si>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</si>
  <si>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</si>
  <si>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</si>
  <si>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</si>
  <si>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</si>
  <si>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</si>
  <si>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</si>
  <si>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</si>
  <si>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</si>
  <si>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</si>
  <si>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</si>
  <si>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</si>
  <si>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</si>
  <si>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</si>
  <si>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</si>
  <si>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</si>
  <si>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</si>
  <si>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</si>
  <si>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</si>
  <si>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</si>
  <si>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</si>
  <si>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</si>
  <si>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</si>
  <si>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</si>
  <si>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</si>
  <si>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</si>
  <si>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</si>
  <si>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</si>
  <si>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</si>
  <si>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</si>
  <si>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</si>
  <si>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</si>
  <si>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</si>
  <si>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</si>
  <si>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</si>
  <si>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</si>
  <si>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</si>
  <si>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</si>
  <si>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</si>
  <si>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</si>
  <si>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</si>
  <si>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</si>
  <si>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</si>
  <si>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</si>
  <si>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</si>
  <si>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</si>
  <si>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</si>
  <si>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</si>
  <si>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</si>
  <si>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</si>
  <si>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</si>
  <si>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</si>
  <si>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</si>
  <si>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</si>
  <si>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</si>
  <si>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</si>
  <si>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</si>
  <si>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</si>
  <si>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</si>
  <si>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</si>
  <si>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</si>
  <si>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</si>
  <si>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</si>
  <si>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</si>
  <si>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</si>
  <si>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</si>
  <si>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</si>
  <si>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</si>
  <si>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</si>
  <si>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</si>
  <si>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</si>
  <si>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</si>
  <si>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</si>
  <si>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</si>
  <si>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</si>
  <si>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</si>
  <si>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</si>
  <si>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</si>
  <si>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</si>
  <si>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</si>
  <si>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</si>
  <si>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</si>
  <si>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</si>
  <si>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</si>
  <si>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</si>
  <si>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</si>
  <si>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</si>
  <si>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</si>
  <si>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</si>
  <si>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</si>
  <si>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</si>
  <si>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</si>
  <si>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</si>
  <si>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</si>
  <si>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</si>
  <si>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</si>
  <si>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</si>
  <si>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</si>
  <si>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</si>
  <si>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</si>
  <si>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</si>
  <si>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</si>
  <si>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</si>
  <si>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</si>
  <si>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</si>
  <si>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</si>
  <si>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</si>
  <si>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</si>
  <si>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</si>
  <si>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</si>
  <si>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</si>
  <si>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</si>
  <si>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</si>
  <si>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</si>
  <si>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</si>
  <si>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</si>
  <si>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</si>
  <si>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</si>
  <si>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</si>
  <si>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</si>
  <si>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</si>
  <si>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</si>
  <si>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</si>
  <si>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</si>
  <si>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</si>
  <si>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</si>
  <si>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</si>
  <si>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</si>
  <si>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</si>
  <si>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</si>
  <si>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</si>
  <si>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</si>
  <si>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</si>
  <si>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</si>
  <si>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</si>
  <si>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</si>
  <si>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</si>
  <si>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</si>
  <si>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</si>
  <si>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</si>
  <si>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</si>
  <si>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</si>
  <si>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</si>
  <si>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</si>
  <si>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</si>
  <si>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</si>
  <si>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</si>
  <si>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</si>
  <si>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</si>
  <si>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</si>
  <si>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</si>
  <si>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</si>
  <si>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</si>
  <si>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</si>
  <si>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</si>
  <si>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</si>
  <si>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</si>
  <si>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</si>
  <si>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</si>
  <si>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</si>
  <si>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</si>
  <si>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</si>
  <si>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</si>
  <si>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</si>
  <si>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</si>
  <si>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</si>
  <si>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</si>
  <si>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</si>
  <si>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</si>
  <si>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</si>
  <si>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</si>
  <si>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</si>
  <si>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</si>
  <si>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</si>
  <si>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</si>
  <si>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</si>
  <si>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</si>
  <si>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</si>
  <si>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</si>
  <si>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</si>
  <si>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</si>
  <si>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</si>
  <si>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</si>
  <si>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</si>
  <si>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</si>
  <si>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</si>
  <si>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</si>
  <si>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</si>
  <si>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</si>
  <si>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</si>
  <si>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</si>
  <si>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</si>
  <si>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</si>
  <si>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</si>
  <si>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</si>
  <si>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</si>
  <si>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</si>
  <si>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</si>
  <si>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</si>
  <si>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</si>
  <si>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</si>
  <si>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</si>
  <si>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</si>
  <si>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</si>
  <si>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</si>
  <si>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</si>
  <si>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</si>
  <si>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</si>
  <si>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</si>
  <si>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</si>
  <si>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</si>
  <si>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</si>
  <si>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</si>
  <si>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</si>
  <si>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</si>
  <si>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</si>
  <si>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</si>
  <si>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</si>
  <si>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</si>
  <si>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</si>
  <si>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</si>
  <si>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</si>
  <si>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</si>
  <si>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</si>
  <si>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</si>
  <si>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</si>
  <si>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</si>
  <si>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</si>
  <si>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</si>
  <si>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</si>
  <si>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</si>
  <si>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</si>
  <si>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</si>
  <si>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</si>
  <si>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</si>
  <si>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</si>
  <si>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</si>
  <si>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</si>
  <si>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</si>
  <si>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</si>
  <si>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</si>
  <si>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</si>
  <si>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</si>
  <si>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</si>
  <si>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</si>
  <si>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</si>
  <si>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</si>
  <si>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</si>
  <si>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</si>
  <si>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</si>
  <si>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</si>
  <si>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</si>
  <si>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</si>
  <si>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</si>
  <si>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</si>
  <si>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</si>
  <si>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</si>
  <si>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</si>
  <si>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</si>
  <si>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</si>
  <si>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</si>
  <si>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</si>
  <si>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</si>
  <si>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</si>
  <si>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</si>
  <si>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</si>
  <si>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</si>
  <si>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</si>
  <si>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</si>
  <si>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</si>
  <si>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</si>
  <si>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</si>
  <si>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</si>
  <si>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</si>
  <si>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</si>
  <si>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</si>
  <si>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</si>
  <si>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</si>
  <si>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</si>
  <si>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</si>
  <si>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</si>
  <si>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</si>
  <si>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</si>
  <si>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</si>
  <si>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</si>
  <si>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</si>
  <si>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</si>
  <si>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</si>
  <si>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</si>
  <si>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</si>
  <si>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</si>
  <si>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</si>
  <si>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</si>
  <si>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</si>
  <si>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</si>
  <si>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</si>
  <si>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</si>
  <si>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</si>
  <si>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</si>
  <si>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</si>
  <si>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</si>
  <si>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</si>
  <si>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</si>
  <si>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</si>
  <si>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</si>
  <si>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</si>
  <si>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</si>
  <si>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</si>
  <si>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</si>
  <si>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</si>
  <si>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</si>
  <si>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</si>
  <si>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</si>
  <si>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</si>
  <si>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</si>
  <si>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</si>
  <si>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</si>
  <si>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</si>
  <si>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</si>
  <si>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</si>
  <si>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</si>
  <si>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</si>
  <si>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</si>
  <si>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</si>
  <si>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</si>
  <si>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</si>
  <si>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</si>
  <si>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</si>
  <si>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</si>
  <si>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</si>
  <si>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</si>
  <si>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</si>
  <si>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</si>
  <si>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</si>
  <si>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</si>
  <si>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</si>
  <si>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</si>
  <si>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</si>
  <si>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</si>
  <si>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</si>
  <si>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</si>
  <si>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</si>
  <si>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</si>
  <si>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</si>
  <si>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</si>
  <si>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</si>
  <si>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</si>
  <si>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</si>
  <si>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</si>
  <si>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</si>
  <si>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</si>
  <si>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</si>
  <si>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</si>
  <si>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</si>
  <si>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</si>
  <si>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</si>
  <si>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</si>
  <si>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</si>
  <si>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</si>
  <si>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</si>
  <si>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</si>
  <si>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</si>
  <si>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</si>
  <si>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</si>
  <si>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</si>
  <si>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</si>
  <si>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</si>
  <si>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</si>
  <si>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</si>
  <si>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</si>
  <si>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</si>
  <si>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</si>
  <si>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</si>
  <si>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</si>
  <si>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</si>
  <si>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</si>
  <si>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</si>
  <si>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</si>
  <si>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</si>
  <si>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</si>
  <si>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</si>
  <si>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</si>
  <si>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</si>
  <si>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</si>
  <si>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</si>
  <si>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</si>
  <si>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</si>
  <si>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</si>
  <si>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</si>
  <si>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</si>
  <si>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</si>
  <si>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</si>
  <si>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</si>
  <si>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</si>
  <si>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</si>
  <si>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</si>
  <si>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</si>
  <si>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</si>
  <si>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</si>
  <si>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</si>
  <si>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</si>
  <si>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</si>
  <si>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</si>
  <si>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</si>
  <si>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</si>
  <si>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</si>
  <si>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</si>
  <si>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</si>
  <si>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</si>
  <si>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</si>
  <si>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</si>
  <si>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</si>
  <si>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</si>
  <si>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</si>
  <si>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</si>
  <si>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</si>
  <si>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</si>
  <si>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</si>
  <si>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</si>
  <si>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</si>
  <si>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</si>
  <si>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</si>
  <si>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</si>
  <si>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</si>
  <si>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</si>
  <si>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</si>
  <si>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</si>
  <si>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</si>
  <si>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</si>
  <si>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</si>
  <si>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</si>
  <si>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</si>
  <si>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</si>
  <si>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</si>
  <si>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</si>
  <si>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</si>
  <si>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</si>
  <si>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</si>
  <si>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</si>
  <si>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</si>
  <si>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</si>
  <si>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</si>
  <si>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</si>
  <si>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</si>
  <si>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</si>
  <si>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</si>
  <si>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</si>
  <si>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</si>
  <si>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</si>
  <si>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</si>
  <si>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</si>
  <si>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</si>
  <si>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</si>
  <si>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</si>
  <si>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</si>
  <si>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</si>
  <si>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</si>
  <si>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</si>
  <si>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</si>
  <si>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</si>
  <si>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</si>
  <si>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</si>
  <si>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</si>
  <si>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</si>
  <si>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</si>
  <si>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</si>
  <si>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</si>
  <si>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</si>
  <si>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</si>
  <si>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</si>
  <si>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</si>
  <si>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</si>
  <si>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</si>
  <si>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</si>
  <si>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</si>
  <si>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</si>
  <si>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</si>
  <si>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</si>
  <si>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</si>
  <si>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</si>
  <si>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</si>
  <si>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</si>
  <si>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</si>
  <si>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</si>
  <si>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</si>
  <si>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</si>
  <si>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</si>
  <si>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</si>
  <si>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</si>
  <si>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</si>
  <si>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</si>
  <si>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</si>
  <si>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</si>
  <si>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</si>
  <si>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</si>
  <si>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</si>
  <si>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</si>
  <si>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</si>
  <si>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</si>
  <si>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</si>
  <si>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</si>
  <si>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</si>
  <si>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</si>
  <si>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</si>
  <si>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</si>
  <si>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</si>
  <si>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</si>
  <si>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</si>
  <si>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</si>
  <si>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</si>
  <si>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</si>
  <si>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</si>
  <si>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</si>
  <si>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</si>
  <si>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</si>
  <si>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</si>
  <si>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</si>
  <si>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</si>
  <si>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</si>
  <si>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</si>
  <si>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</si>
  <si>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</si>
  <si>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</si>
  <si>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</si>
  <si>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</si>
  <si>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</si>
  <si>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</si>
  <si>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</si>
  <si>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</si>
  <si>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</si>
  <si>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</si>
  <si>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</si>
  <si>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</si>
  <si>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</si>
  <si>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</si>
  <si>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</si>
  <si>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</si>
  <si>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</si>
  <si>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</si>
  <si>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</si>
  <si>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</si>
  <si>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</si>
  <si>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</si>
  <si>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</si>
  <si>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</si>
  <si>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</si>
  <si>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</si>
  <si>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</si>
  <si>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</si>
  <si>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</si>
  <si>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</si>
  <si>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</si>
  <si>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</si>
  <si>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</si>
  <si>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</si>
  <si>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</si>
  <si>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</si>
  <si>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</si>
  <si>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</si>
  <si>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</si>
  <si>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</si>
  <si>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</si>
  <si>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</si>
  <si>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</si>
  <si>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</si>
  <si>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</si>
  <si>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</si>
  <si>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</si>
  <si>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</si>
  <si>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</si>
  <si>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</si>
  <si>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</si>
  <si>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</si>
  <si>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</si>
  <si>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</si>
  <si>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</si>
  <si>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</si>
  <si>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</si>
  <si>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</si>
  <si>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</si>
  <si>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</si>
  <si>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</si>
  <si>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</si>
  <si>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</si>
  <si>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</si>
  <si>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</si>
  <si>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</si>
  <si>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</si>
  <si>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</si>
  <si>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</si>
  <si>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</si>
  <si>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</si>
  <si>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</si>
  <si>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</si>
  <si>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</si>
  <si>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</si>
  <si>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</si>
  <si>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</si>
  <si>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</si>
  <si>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</si>
  <si>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</si>
  <si>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</si>
  <si>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</si>
  <si>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</si>
  <si>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</si>
  <si>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</si>
  <si>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</si>
  <si>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</si>
  <si>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</si>
  <si>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</si>
  <si>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</si>
  <si>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</si>
  <si>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</si>
  <si>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</si>
  <si>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</si>
  <si>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</si>
  <si>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</si>
  <si>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</si>
  <si>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</si>
  <si>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</si>
  <si>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</si>
  <si>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</si>
  <si>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</si>
  <si>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</si>
  <si>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</si>
  <si>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</si>
  <si>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</si>
  <si>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</si>
  <si>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</si>
  <si>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</si>
  <si>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</si>
  <si>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</si>
  <si>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</si>
  <si>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</si>
  <si>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</si>
  <si>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</si>
  <si>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</si>
  <si>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</si>
  <si>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</si>
  <si>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</si>
  <si>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</si>
  <si>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</si>
  <si>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</si>
  <si>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</si>
  <si>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</si>
  <si>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</si>
  <si>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</si>
  <si>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</si>
  <si>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</si>
  <si>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</si>
  <si>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</si>
  <si>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</si>
  <si>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</si>
  <si>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</si>
  <si>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</si>
  <si>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</si>
  <si>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</si>
  <si>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</si>
  <si>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</si>
  <si>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</si>
  <si>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</si>
  <si>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</si>
  <si>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</si>
  <si>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</si>
  <si>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</si>
  <si>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</si>
  <si>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</si>
  <si>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</si>
  <si>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</si>
  <si>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</si>
  <si>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</si>
  <si>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</si>
  <si>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</si>
  <si>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</si>
  <si>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</si>
  <si>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</si>
  <si>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</si>
  <si>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</si>
  <si>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</si>
  <si>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</si>
  <si>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</si>
  <si>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</si>
  <si>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</si>
  <si>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</si>
  <si>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</si>
  <si>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</si>
  <si>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</si>
  <si>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</si>
  <si>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</si>
  <si>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</si>
  <si>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</si>
  <si>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</si>
  <si>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</si>
  <si>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</si>
  <si>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</si>
  <si>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</si>
  <si>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</si>
  <si>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</si>
  <si>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</si>
  <si>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</si>
  <si>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</si>
  <si>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</si>
  <si>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</si>
  <si>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</si>
  <si>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</si>
  <si>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</si>
  <si>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</si>
  <si>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</si>
  <si>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</si>
  <si>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</si>
  <si>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</si>
  <si>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</si>
  <si>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</si>
  <si>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</si>
  <si>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</si>
  <si>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</si>
  <si>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</si>
  <si>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</si>
  <si>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</si>
  <si>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</si>
  <si>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</si>
  <si>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</si>
  <si>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</si>
  <si>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</si>
  <si>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</si>
  <si>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</si>
  <si>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</si>
  <si>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</si>
  <si>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</si>
  <si>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</si>
  <si>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</si>
  <si>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</si>
  <si>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</si>
  <si>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</si>
  <si>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</si>
  <si>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</si>
  <si>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</si>
  <si>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</si>
  <si>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</si>
  <si>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</si>
  <si>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</si>
  <si>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</si>
  <si>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</si>
  <si>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</si>
  <si>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</si>
  <si>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</si>
  <si>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</si>
  <si>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</si>
  <si>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</si>
  <si>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</si>
  <si>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</si>
  <si>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</si>
  <si>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</si>
  <si>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</si>
  <si>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</si>
  <si>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</si>
  <si>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</si>
  <si>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</si>
  <si>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</si>
  <si>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</si>
  <si>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</si>
  <si>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</si>
  <si>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</si>
  <si>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</si>
  <si>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</si>
  <si>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</si>
  <si>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</si>
  <si>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</si>
  <si>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</si>
  <si>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</si>
  <si>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</si>
  <si>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</si>
  <si>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</si>
  <si>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</si>
  <si>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</si>
  <si>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</si>
  <si>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</si>
  <si>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</si>
  <si>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</si>
  <si>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</si>
  <si>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</si>
  <si>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</si>
  <si>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</si>
  <si>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</si>
  <si>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</si>
  <si>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</si>
  <si>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</si>
  <si>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</si>
  <si>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</si>
  <si>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</si>
  <si>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</si>
  <si>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</si>
  <si>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</si>
  <si>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</si>
  <si>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</si>
  <si>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</si>
  <si>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</si>
  <si>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</si>
  <si>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</si>
  <si>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</si>
  <si>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</si>
  <si>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</si>
  <si>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</si>
  <si>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</si>
  <si>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</si>
  <si>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</si>
  <si>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</si>
  <si>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</si>
  <si>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</si>
  <si>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</si>
  <si>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</si>
  <si>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</si>
  <si>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</si>
  <si>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</si>
  <si>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</si>
  <si>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</si>
  <si>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</si>
  <si>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</si>
  <si>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</si>
  <si>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</si>
  <si>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</si>
  <si>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</si>
  <si>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</si>
  <si>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</si>
  <si>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</si>
  <si>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</si>
  <si>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</si>
  <si>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</si>
  <si>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</si>
  <si>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</si>
  <si>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</si>
  <si>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</si>
  <si>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</si>
  <si>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</si>
  <si>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</si>
  <si>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</si>
  <si>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</si>
  <si>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</si>
  <si>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</si>
  <si>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</si>
  <si>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</si>
  <si>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</si>
  <si>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</si>
  <si>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</si>
  <si>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</si>
  <si>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</si>
  <si>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</si>
  <si>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</si>
  <si>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</si>
  <si>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</si>
  <si>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</si>
  <si>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</si>
  <si>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</si>
  <si>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</si>
  <si>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</si>
  <si>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</si>
  <si>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</si>
  <si>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</si>
  <si>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</si>
  <si>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</si>
  <si>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</si>
  <si>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</si>
  <si>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</si>
  <si>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</si>
  <si>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</si>
  <si>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</si>
  <si>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</si>
  <si>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</si>
  <si>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</si>
  <si>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</si>
  <si>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</si>
  <si>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</si>
  <si>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</si>
  <si>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</si>
  <si>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</si>
  <si>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</si>
  <si>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</si>
  <si>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</si>
  <si>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</si>
  <si>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</si>
  <si>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</si>
  <si>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</si>
  <si>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</si>
  <si>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</si>
  <si>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</si>
  <si>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</si>
  <si>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</si>
  <si>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</si>
  <si>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</si>
  <si>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</si>
  <si>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</si>
  <si>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</si>
  <si>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</si>
  <si>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</si>
  <si>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</si>
  <si>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</si>
  <si>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</si>
  <si>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</si>
  <si>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</si>
  <si>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</si>
  <si>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</si>
  <si>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</si>
  <si>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</si>
  <si>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</si>
  <si>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</si>
  <si>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</si>
  <si>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</si>
  <si>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</si>
  <si>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</si>
  <si>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</si>
  <si>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</si>
  <si>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</si>
  <si>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</si>
  <si>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</si>
  <si>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</si>
  <si>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</si>
  <si>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</si>
  <si>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</si>
  <si>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</si>
  <si>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</si>
  <si>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</si>
  <si>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</si>
  <si>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</si>
  <si>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</si>
  <si>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</si>
  <si>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</si>
  <si>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</si>
  <si>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</si>
  <si>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</si>
  <si>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</si>
  <si>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</si>
  <si>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</si>
  <si>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</si>
  <si>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</si>
  <si>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</si>
  <si>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</si>
  <si>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</si>
  <si>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</si>
  <si>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</si>
  <si>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</si>
  <si>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</si>
  <si>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</si>
  <si>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</si>
  <si>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</si>
  <si>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</si>
  <si>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</si>
  <si>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</si>
  <si>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</si>
  <si>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</si>
  <si>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</si>
  <si>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</si>
  <si>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</si>
  <si>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</si>
  <si>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</si>
  <si>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</si>
  <si>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</si>
  <si>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</si>
  <si>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</si>
  <si>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</si>
  <si>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</si>
  <si>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</si>
  <si>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</si>
  <si>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</si>
  <si>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</si>
  <si>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</si>
  <si>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</si>
  <si>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</si>
  <si>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</si>
  <si>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</si>
  <si>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</si>
  <si>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</si>
  <si>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</si>
  <si>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</si>
  <si>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</si>
  <si>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</si>
  <si>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</si>
  <si>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</si>
  <si>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</si>
  <si>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</si>
  <si>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</si>
  <si>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</si>
  <si>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</si>
  <si>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</si>
  <si>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</si>
  <si>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</si>
  <si>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</si>
  <si>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</si>
  <si>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</si>
  <si>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</si>
  <si>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</si>
  <si>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</si>
  <si>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</si>
  <si>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</si>
  <si>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</si>
  <si>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</si>
  <si>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</si>
  <si>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</si>
  <si>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</si>
  <si>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</si>
  <si>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</si>
  <si>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</si>
  <si>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</si>
  <si>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</si>
  <si>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</si>
  <si>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</si>
  <si>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</si>
  <si>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</si>
  <si>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</si>
  <si>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</si>
  <si>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</si>
  <si>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</si>
  <si>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</si>
  <si>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</si>
  <si>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</si>
  <si>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</si>
  <si>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</si>
  <si>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</si>
  <si>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</si>
  <si>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</si>
  <si>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</si>
  <si>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</si>
  <si>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</si>
  <si>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</si>
  <si>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</si>
  <si>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</si>
  <si>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</si>
  <si>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</si>
  <si>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</si>
  <si>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</si>
  <si>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</si>
  <si>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</si>
  <si>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</si>
  <si>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</si>
  <si>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</si>
  <si>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</si>
  <si>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</si>
  <si>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</si>
  <si>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</si>
  <si>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</si>
  <si>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</si>
  <si>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</si>
  <si>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</si>
  <si>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</si>
  <si>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</si>
  <si>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</si>
  <si>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</si>
  <si>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</si>
  <si>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</si>
  <si>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</si>
  <si>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</si>
  <si>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</si>
  <si>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</si>
  <si>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</si>
  <si>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</si>
  <si>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</si>
  <si>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</si>
  <si>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</si>
  <si>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</si>
  <si>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</si>
  <si>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</si>
  <si>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</si>
  <si>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</si>
  <si>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</si>
  <si>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</si>
  <si>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</si>
  <si>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</si>
  <si>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</si>
  <si>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</si>
  <si>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</si>
  <si>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</si>
  <si>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</si>
  <si>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</si>
  <si>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</si>
  <si>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</si>
  <si>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</si>
  <si>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</si>
  <si>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</si>
  <si>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</si>
  <si>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</si>
  <si>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</si>
  <si>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</si>
  <si>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</si>
  <si>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</si>
  <si>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</si>
  <si>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</si>
  <si>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</si>
  <si>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</si>
  <si>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</si>
  <si>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</si>
  <si>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</si>
  <si>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</si>
  <si>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</si>
  <si>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</si>
  <si>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</si>
  <si>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</si>
  <si>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</si>
  <si>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</si>
  <si>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</si>
  <si>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</si>
  <si>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</si>
  <si>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</si>
  <si>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</si>
  <si>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</si>
  <si>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</si>
  <si>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</si>
  <si>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</si>
  <si>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</si>
  <si>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</si>
  <si>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</si>
  <si>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</si>
  <si>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</si>
  <si>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</si>
  <si>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</si>
  <si>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</si>
  <si>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</si>
  <si>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</si>
  <si>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</si>
  <si>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</si>
  <si>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</si>
  <si>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</si>
  <si>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</si>
  <si>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</si>
  <si>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</si>
  <si>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</si>
  <si>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</si>
  <si>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</si>
  <si>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</si>
  <si>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</si>
  <si>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</si>
  <si>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</si>
  <si>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</si>
  <si>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</si>
  <si>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</si>
  <si>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</si>
  <si>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</si>
  <si>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</si>
  <si>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</si>
  <si>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</si>
  <si>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</si>
  <si>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</si>
  <si>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</si>
  <si>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</si>
  <si>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</si>
  <si>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</si>
  <si>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</si>
  <si>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</si>
  <si>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</si>
  <si>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</si>
  <si>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</si>
  <si>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</si>
  <si>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</si>
  <si>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</si>
  <si>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</si>
  <si>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</si>
  <si>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</si>
  <si>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</si>
  <si>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</si>
  <si>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</si>
  <si>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</si>
  <si>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</si>
  <si>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</si>
  <si>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</si>
  <si>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</si>
  <si>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</si>
  <si>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</si>
  <si>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</si>
  <si>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</si>
  <si>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</si>
  <si>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</si>
  <si>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</si>
  <si>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</si>
  <si>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</si>
  <si>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</si>
  <si>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</si>
  <si>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</si>
  <si>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</si>
  <si>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</si>
  <si>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</si>
  <si>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</si>
  <si>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</si>
  <si>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</si>
  <si>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</si>
  <si>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</si>
  <si>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</si>
  <si>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</si>
  <si>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</si>
  <si>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</si>
  <si>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</si>
  <si>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</si>
  <si>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</si>
  <si>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</si>
  <si>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</si>
  <si>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</si>
  <si>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</si>
  <si>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</si>
  <si>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</si>
  <si>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</si>
  <si>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</si>
  <si>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</si>
  <si>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</si>
  <si>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</si>
  <si>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</si>
  <si>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</si>
  <si>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</si>
  <si>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</si>
  <si>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</si>
  <si>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</si>
  <si>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</si>
  <si>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</si>
  <si>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</si>
  <si>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</si>
  <si>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</si>
  <si>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</si>
  <si>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</si>
  <si>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</si>
  <si>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</si>
  <si>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</si>
  <si>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</si>
  <si>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</si>
  <si>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</si>
  <si>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</si>
  <si>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</si>
  <si>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</si>
  <si>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</si>
  <si>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</si>
  <si>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</si>
  <si>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</si>
  <si>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</si>
  <si>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</si>
  <si>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</si>
  <si>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</si>
  <si>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</si>
  <si>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</si>
  <si>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</si>
  <si>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</si>
  <si>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</si>
  <si>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</si>
  <si>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</si>
  <si>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</si>
  <si>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</si>
  <si>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</si>
  <si>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</si>
  <si>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</si>
  <si>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</si>
  <si>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</si>
  <si>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</si>
  <si>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</si>
  <si>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</si>
  <si>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</si>
  <si>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</si>
  <si>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</si>
  <si>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</si>
  <si>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</si>
  <si>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</si>
  <si>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</si>
  <si>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</si>
  <si>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</si>
  <si>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</si>
  <si>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</si>
  <si>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</si>
  <si>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</si>
  <si>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</si>
  <si>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</si>
  <si>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</si>
  <si>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</si>
  <si>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</si>
  <si>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</si>
  <si>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</si>
  <si>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</si>
  <si>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</si>
  <si>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</si>
  <si>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</si>
  <si>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</si>
  <si>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</si>
  <si>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</si>
  <si>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</si>
  <si>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</si>
  <si>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</si>
  <si>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</si>
  <si>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</si>
  <si>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</si>
  <si>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</si>
  <si>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</si>
  <si>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</si>
  <si>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</si>
  <si>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</si>
  <si>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</si>
  <si>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</si>
  <si>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</si>
  <si>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</si>
  <si>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</si>
  <si>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</si>
  <si>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</si>
  <si>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</si>
  <si>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</si>
  <si>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</si>
  <si>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</si>
  <si>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</si>
  <si>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</si>
  <si>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</si>
  <si>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</si>
  <si>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</si>
  <si>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</si>
  <si>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</si>
  <si>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</si>
  <si>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</si>
  <si>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</si>
  <si>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</si>
  <si>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</si>
  <si>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</si>
  <si>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</si>
  <si>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</si>
  <si>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</si>
  <si>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</si>
  <si>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</si>
  <si>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</si>
  <si>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</si>
  <si>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</si>
  <si>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</si>
  <si>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</si>
  <si>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</si>
  <si>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</si>
  <si>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</si>
  <si>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</si>
  <si>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</si>
  <si>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</si>
  <si>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</si>
  <si>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</si>
  <si>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</si>
  <si>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</si>
  <si>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</si>
  <si>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</si>
  <si>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</si>
  <si>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</si>
  <si>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</si>
  <si>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</si>
  <si>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</si>
  <si>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</si>
  <si>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</si>
  <si>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</si>
  <si>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</si>
  <si>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</si>
  <si>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</si>
  <si>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</si>
  <si>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</si>
  <si>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</si>
  <si>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</si>
  <si>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</si>
  <si>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</si>
  <si>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</si>
  <si>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</si>
  <si>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</si>
  <si>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</si>
  <si>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</si>
  <si>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</si>
  <si>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</si>
  <si>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</si>
  <si>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</si>
  <si>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</si>
  <si>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</si>
  <si>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</si>
  <si>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</si>
  <si>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</si>
  <si>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</si>
  <si>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</si>
  <si>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</si>
  <si>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</si>
  <si>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</si>
  <si>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</si>
  <si>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</si>
  <si>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</si>
  <si>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</si>
  <si>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</si>
  <si>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</si>
  <si>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</si>
  <si>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</si>
  <si>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</si>
  <si>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</si>
  <si>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</si>
  <si>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</si>
  <si>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</si>
  <si>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</si>
  <si>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</si>
  <si>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</si>
  <si>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</si>
  <si>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</si>
  <si>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</si>
  <si>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</si>
  <si>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</si>
  <si>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</si>
  <si>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</si>
  <si>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</si>
  <si>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</si>
  <si>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</si>
  <si>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</si>
  <si>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</si>
  <si>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</si>
  <si>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</si>
  <si>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</si>
  <si>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</si>
  <si>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</si>
  <si>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</si>
  <si>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</si>
  <si>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</si>
  <si>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</si>
  <si>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</si>
  <si>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</si>
  <si>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</si>
  <si>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</si>
  <si>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</si>
  <si>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</si>
  <si>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</si>
  <si>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</si>
  <si>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</si>
  <si>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</si>
  <si>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</si>
  <si>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</si>
  <si>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</si>
  <si>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</si>
  <si>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</si>
  <si>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</si>
  <si>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</si>
  <si>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</si>
  <si>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</si>
  <si>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</si>
  <si>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</si>
  <si>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</si>
  <si>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</si>
  <si>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</si>
  <si>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</si>
  <si>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</si>
  <si>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</si>
  <si>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</si>
  <si>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</si>
  <si>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</si>
  <si>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</si>
  <si>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</si>
  <si>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</si>
  <si>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</si>
  <si>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</si>
  <si>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</si>
  <si>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</si>
  <si>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</si>
  <si>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</si>
  <si>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</si>
  <si>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</si>
  <si>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</si>
  <si>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</si>
  <si>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</si>
  <si>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</si>
  <si>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</si>
  <si>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</si>
  <si>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</si>
  <si>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</si>
  <si>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</si>
  <si>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</si>
  <si>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</si>
  <si>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</si>
  <si>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</si>
  <si>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</si>
  <si>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</si>
  <si>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</si>
  <si>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</si>
  <si>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</si>
  <si>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</si>
  <si>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</si>
  <si>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</si>
  <si>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</si>
  <si>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</si>
  <si>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</si>
  <si>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</si>
  <si>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</si>
  <si>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</si>
  <si>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</si>
  <si>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</si>
  <si>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</si>
  <si>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</si>
  <si>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</si>
  <si>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</si>
  <si>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</si>
  <si>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</si>
  <si>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</si>
  <si>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</si>
  <si>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</si>
  <si>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</si>
  <si>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</si>
  <si>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</si>
  <si>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</si>
  <si>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</si>
  <si>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</si>
  <si>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</si>
  <si>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</si>
  <si>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</si>
  <si>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</si>
  <si>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</si>
  <si>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</si>
  <si>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</si>
  <si>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</si>
  <si>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</si>
  <si>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</si>
  <si>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</si>
  <si>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</si>
  <si>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</si>
  <si>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</si>
  <si>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</si>
  <si>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</si>
  <si>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</si>
  <si>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</si>
  <si>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</si>
  <si>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</si>
  <si>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</si>
  <si>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</si>
  <si>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</si>
  <si>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</si>
  <si>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</si>
  <si>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</si>
  <si>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</si>
  <si>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</si>
  <si>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</si>
  <si>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</si>
  <si>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</si>
  <si>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</si>
  <si>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</si>
  <si>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</si>
  <si>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</si>
  <si>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</si>
  <si>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</si>
  <si>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</si>
  <si>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</si>
  <si>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</si>
  <si>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</si>
  <si>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</si>
  <si>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</si>
  <si>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</si>
  <si>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</si>
  <si>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</si>
  <si>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</si>
  <si>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</si>
  <si>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</si>
  <si>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</si>
  <si>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</si>
  <si>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</si>
  <si>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</si>
  <si>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</si>
  <si>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</si>
  <si>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</si>
  <si>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</si>
  <si>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</si>
  <si>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</si>
  <si>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</si>
  <si>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</si>
  <si>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</si>
  <si>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</si>
  <si>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</si>
  <si>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</si>
  <si>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</si>
  <si>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</si>
  <si>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</si>
  <si>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</si>
  <si>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</si>
  <si>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</si>
  <si>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</si>
  <si>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</si>
  <si>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</si>
  <si>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</si>
  <si>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</si>
  <si>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</si>
  <si>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</si>
  <si>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</si>
  <si>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</si>
  <si>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</si>
  <si>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</si>
  <si>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</si>
  <si>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</si>
  <si>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</si>
  <si>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</si>
  <si>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</si>
  <si>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</si>
  <si>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</si>
  <si>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</si>
  <si>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</si>
  <si>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</si>
  <si>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</si>
  <si>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</si>
  <si>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</si>
  <si>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</si>
  <si>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</si>
  <si>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</si>
  <si>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</si>
  <si>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</si>
  <si>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</si>
  <si>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</si>
  <si>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</si>
  <si>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</si>
  <si>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</si>
  <si>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</si>
  <si>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</si>
  <si>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</si>
  <si>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</si>
  <si>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</si>
  <si>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</si>
  <si>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</si>
  <si>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</si>
  <si>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</si>
  <si>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</si>
  <si>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</si>
  <si>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</si>
  <si>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</si>
  <si>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</si>
  <si>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</si>
  <si>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</si>
  <si>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</si>
  <si>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</si>
  <si>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</si>
  <si>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</si>
  <si>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</si>
  <si>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</si>
  <si>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</si>
  <si>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</si>
  <si>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</si>
  <si>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</si>
  <si>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</si>
  <si>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</si>
  <si>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</si>
  <si>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</si>
  <si>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</si>
  <si>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</si>
  <si>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</si>
  <si>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</si>
  <si>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</si>
  <si>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</si>
  <si>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</si>
  <si>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</si>
  <si>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</si>
  <si>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</si>
  <si>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</si>
  <si>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</si>
  <si>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</si>
  <si>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</si>
  <si>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</si>
  <si>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</si>
  <si>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</si>
  <si>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</si>
  <si>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</si>
  <si>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</si>
  <si>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</si>
  <si>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</si>
  <si>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</si>
  <si>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</si>
  <si>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</si>
  <si>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</si>
  <si>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</si>
  <si>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</si>
  <si>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</si>
  <si>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</si>
  <si>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</si>
  <si>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</si>
  <si>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</si>
  <si>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</si>
  <si>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</si>
  <si>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</si>
  <si>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</si>
  <si>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</si>
  <si>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</si>
  <si>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</si>
  <si>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</si>
  <si>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</si>
  <si>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</si>
  <si>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</si>
  <si>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</si>
  <si>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</si>
  <si>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</si>
  <si>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</si>
  <si>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</si>
  <si>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</si>
  <si>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</si>
  <si>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</si>
  <si>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</si>
  <si>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</si>
  <si>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</si>
  <si>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</si>
  <si>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</si>
  <si>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</si>
  <si>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</si>
  <si>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</si>
  <si>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</si>
  <si>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</si>
  <si>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</si>
  <si>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</si>
  <si>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</si>
  <si>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</si>
  <si>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</si>
  <si>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</si>
  <si>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</si>
  <si>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</si>
  <si>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</si>
  <si>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</si>
  <si>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</si>
  <si>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</si>
  <si>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</si>
  <si>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</si>
  <si>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</si>
  <si>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</si>
  <si>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</si>
  <si>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</si>
  <si>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</si>
  <si>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</si>
  <si>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</si>
  <si>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</si>
  <si>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</si>
  <si>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</si>
  <si>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</si>
  <si>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</si>
  <si>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</si>
  <si>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</si>
  <si>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</si>
  <si>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</si>
  <si>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</si>
  <si>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</si>
  <si>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</si>
  <si>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</si>
  <si>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</si>
  <si>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</si>
  <si>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</si>
  <si>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</si>
  <si>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</si>
  <si>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</si>
  <si>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</si>
  <si>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</si>
  <si>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</si>
  <si>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</si>
  <si>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</si>
  <si>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</si>
  <si>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</si>
  <si>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</si>
  <si>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</si>
  <si>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</si>
  <si>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</si>
  <si>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</si>
  <si>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</si>
  <si>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</si>
  <si>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</si>
  <si>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</si>
  <si>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</si>
  <si>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</si>
  <si>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</si>
  <si>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</si>
  <si>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</si>
  <si>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</si>
  <si>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</si>
  <si>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</si>
  <si>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</si>
  <si>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</si>
  <si>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</si>
  <si>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</si>
  <si>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</si>
  <si>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</si>
  <si>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</si>
  <si>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</si>
  <si>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</si>
  <si>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</si>
  <si>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</si>
  <si>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</si>
  <si>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</si>
  <si>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</si>
  <si>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</si>
  <si>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</si>
  <si>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</si>
  <si>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</si>
  <si>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</si>
  <si>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</si>
  <si>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</si>
  <si>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</si>
  <si>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</si>
  <si>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</si>
  <si>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</si>
  <si>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</si>
  <si>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</si>
  <si>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</si>
  <si>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</si>
  <si>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</si>
  <si>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</si>
  <si>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</si>
  <si>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</si>
  <si>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</si>
  <si>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</si>
  <si>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</si>
  <si>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</si>
  <si>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</si>
  <si>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</si>
  <si>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</si>
  <si>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</si>
  <si>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</si>
  <si>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</si>
  <si>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</si>
  <si>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</si>
  <si>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</si>
  <si>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</si>
  <si>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</si>
  <si>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</si>
  <si>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</si>
  <si>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</si>
  <si>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</si>
  <si>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</si>
  <si>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</si>
  <si>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</si>
  <si>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</si>
  <si>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</si>
  <si>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</si>
  <si>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</si>
  <si>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</si>
  <si>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</si>
  <si>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</si>
  <si>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</si>
  <si>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</si>
  <si>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</si>
  <si>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</si>
  <si>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</si>
  <si>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</si>
  <si>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</si>
  <si>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</si>
  <si>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</si>
  <si>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</si>
  <si>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</si>
  <si>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</si>
  <si>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</si>
  <si>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</si>
  <si>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</si>
  <si>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</si>
  <si>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</si>
  <si>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</si>
  <si>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</si>
  <si>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</si>
  <si>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</si>
  <si>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</si>
  <si>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</si>
  <si>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</si>
  <si>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</si>
  <si>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</si>
  <si>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</si>
  <si>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</si>
  <si>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</si>
  <si>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</si>
  <si>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</si>
  <si>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</si>
  <si>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</si>
  <si>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</si>
  <si>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</si>
  <si>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</si>
  <si>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</si>
  <si>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</si>
  <si>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</si>
  <si>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</si>
  <si>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</si>
  <si>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</si>
  <si>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</si>
  <si>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</si>
  <si>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</si>
  <si>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</si>
  <si>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</si>
  <si>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</si>
  <si>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</si>
  <si>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</si>
  <si>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</si>
  <si>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</si>
  <si>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</si>
  <si>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</si>
  <si>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</si>
  <si>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</si>
  <si>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</si>
  <si>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</si>
  <si>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</si>
  <si>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</si>
  <si>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</si>
  <si>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</si>
  <si>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</si>
  <si>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</si>
  <si>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</si>
  <si>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</si>
  <si>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</si>
  <si>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</si>
  <si>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</si>
  <si>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</si>
  <si>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</si>
  <si>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</si>
  <si>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</si>
  <si>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</si>
  <si>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</si>
  <si>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</si>
  <si>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</si>
  <si>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</si>
  <si>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</si>
  <si>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</si>
  <si>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</si>
  <si>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</si>
  <si>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</si>
  <si>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</si>
  <si>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</si>
  <si>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</si>
  <si>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</si>
  <si>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</si>
  <si>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</si>
  <si>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</si>
  <si>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</si>
  <si>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</si>
  <si>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</si>
  <si>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</si>
  <si>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</si>
  <si>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</si>
  <si>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</si>
  <si>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</si>
  <si>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</si>
  <si>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</si>
  <si>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</si>
  <si>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</si>
  <si>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</si>
  <si>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</si>
  <si>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</si>
  <si>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</si>
  <si>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</si>
  <si>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</si>
  <si>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</si>
  <si>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</si>
  <si>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</si>
  <si>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</si>
  <si>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</si>
  <si>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</si>
  <si>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</si>
  <si>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</si>
  <si>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</si>
  <si>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</si>
  <si>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</si>
  <si>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</si>
  <si>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</si>
  <si>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</si>
  <si>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</si>
  <si>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</si>
  <si>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</si>
  <si>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</si>
  <si>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</si>
  <si>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</si>
  <si>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</si>
  <si>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</si>
  <si>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</si>
  <si>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</si>
  <si>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</si>
  <si>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</si>
  <si>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</si>
  <si>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</si>
  <si>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</si>
  <si>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</si>
  <si>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</si>
  <si>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</si>
  <si>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</si>
  <si>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</si>
  <si>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</si>
  <si>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</si>
  <si>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</si>
  <si>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</si>
  <si>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</si>
  <si>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</si>
  <si>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</si>
  <si>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</si>
  <si>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</si>
  <si>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</si>
  <si>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</si>
  <si>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</si>
  <si>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</si>
  <si>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</si>
  <si>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</si>
  <si>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</si>
  <si>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</si>
  <si>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</si>
  <si>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</si>
  <si>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</si>
  <si>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</si>
  <si>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</si>
  <si>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</si>
  <si>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</si>
  <si>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</si>
  <si>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</si>
  <si>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</si>
  <si>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</si>
  <si>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</si>
  <si>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</si>
  <si>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</si>
  <si>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</si>
  <si>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</si>
  <si>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</si>
  <si>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</si>
  <si>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</si>
  <si>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</si>
  <si>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</si>
  <si>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</si>
  <si>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</si>
  <si>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</si>
  <si>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</si>
  <si>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</si>
  <si>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</si>
  <si>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</si>
  <si>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</si>
  <si>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</si>
  <si>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</si>
  <si>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</si>
  <si>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</si>
  <si>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</si>
  <si>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</si>
  <si>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</si>
  <si>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</si>
  <si>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</si>
  <si>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</si>
  <si>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</si>
  <si>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</si>
  <si>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</si>
  <si>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</si>
  <si>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</si>
  <si>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</si>
  <si>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</si>
  <si>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</si>
  <si>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</si>
  <si>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</si>
  <si>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</si>
  <si>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</si>
  <si>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</si>
  <si>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</si>
  <si>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</si>
  <si>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</si>
  <si>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</si>
  <si>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</si>
  <si>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</si>
  <si>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</si>
  <si>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</si>
  <si>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</si>
  <si>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</si>
  <si>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</si>
  <si>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</si>
  <si>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</si>
  <si>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</si>
  <si>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</si>
  <si>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</si>
  <si>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</si>
  <si>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</si>
  <si>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</si>
  <si>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</si>
  <si>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</si>
  <si>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</si>
  <si>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</si>
  <si>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</si>
  <si>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</si>
  <si>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</si>
  <si>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</si>
  <si>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</si>
  <si>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</si>
  <si>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</si>
  <si>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</si>
  <si>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</si>
  <si>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</si>
  <si>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</si>
  <si>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</si>
  <si>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</si>
  <si>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</si>
  <si>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</si>
  <si>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</si>
  <si>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</si>
  <si>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</si>
  <si>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</si>
  <si>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</si>
  <si>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</si>
  <si>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</si>
  <si>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</si>
  <si>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</si>
  <si>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</si>
  <si>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</si>
  <si>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</si>
  <si>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</si>
  <si>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</si>
  <si>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</si>
  <si>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</si>
  <si>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</si>
  <si>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</si>
  <si>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</si>
  <si>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</si>
  <si>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</si>
  <si>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</si>
  <si>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</si>
  <si>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</si>
  <si>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</si>
  <si>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</si>
  <si>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</si>
  <si>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</si>
  <si>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</si>
  <si>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</si>
  <si>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</si>
  <si>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</si>
  <si>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</si>
  <si>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</si>
  <si>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</si>
  <si>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</si>
  <si>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</si>
  <si>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</si>
  <si>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</si>
  <si>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</si>
  <si>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</si>
  <si>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</si>
  <si>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</si>
  <si>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</si>
  <si>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</si>
  <si>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</si>
  <si>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</si>
  <si>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</si>
  <si>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</si>
  <si>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</si>
  <si>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</si>
  <si>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</si>
  <si>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</si>
  <si>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</si>
  <si>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</si>
  <si>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</si>
  <si>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</si>
  <si>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</si>
  <si>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</si>
  <si>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</si>
  <si>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</si>
  <si>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</si>
  <si>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</si>
  <si>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</si>
  <si>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</si>
  <si>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</si>
  <si>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</si>
  <si>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</si>
  <si>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</si>
  <si>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</si>
  <si>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</si>
  <si>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</si>
  <si>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</si>
  <si>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</si>
  <si>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</si>
  <si>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</si>
  <si>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</si>
  <si>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</si>
  <si>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</si>
  <si>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</si>
  <si>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</si>
  <si>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</si>
  <si>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</si>
  <si>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</si>
  <si>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</si>
  <si>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</si>
  <si>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</si>
  <si>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</si>
  <si>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</si>
  <si>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</si>
  <si>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</si>
  <si>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</si>
  <si>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</si>
  <si>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</si>
  <si>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</si>
  <si>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</si>
  <si>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</si>
  <si>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</si>
  <si>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</si>
  <si>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</si>
  <si>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</si>
  <si>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</si>
  <si>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</si>
  <si>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</si>
  <si>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</si>
  <si>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</si>
  <si>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</si>
  <si>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</si>
  <si>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</si>
  <si>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</si>
  <si>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</si>
  <si>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</si>
  <si>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</si>
  <si>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</si>
  <si>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</si>
  <si>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</si>
  <si>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</si>
  <si>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</si>
  <si>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</si>
  <si>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</si>
  <si>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</si>
  <si>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</si>
  <si>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</si>
  <si>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</si>
  <si>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</si>
  <si>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</si>
  <si>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</si>
  <si>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</si>
  <si>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</si>
  <si>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</si>
  <si>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</si>
  <si>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</si>
  <si>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</si>
  <si>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</si>
  <si>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</si>
  <si>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</si>
  <si>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</si>
  <si>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</si>
  <si>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</si>
  <si>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</si>
  <si>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</si>
  <si>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</si>
  <si>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</si>
  <si>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</si>
  <si>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</si>
  <si>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</si>
  <si>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</si>
  <si>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</si>
  <si>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</si>
  <si>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</si>
  <si>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</si>
  <si>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</si>
  <si>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</si>
  <si>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</si>
  <si>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</si>
  <si>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</si>
  <si>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</si>
  <si>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</si>
  <si>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</si>
  <si>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</si>
  <si>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</si>
  <si>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</si>
  <si>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</si>
  <si>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</si>
  <si>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</si>
  <si>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</si>
  <si>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</si>
  <si>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</si>
  <si>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</si>
  <si>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</si>
  <si>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</si>
  <si>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</si>
  <si>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</si>
  <si>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</si>
  <si>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</si>
  <si>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</si>
  <si>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</si>
  <si>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</si>
  <si>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</si>
  <si>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</si>
  <si>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</si>
  <si>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</si>
  <si>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</si>
  <si>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</si>
  <si>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</si>
  <si>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</si>
  <si>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</si>
  <si>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</si>
  <si>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</si>
  <si>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</si>
  <si>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</si>
  <si>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</si>
  <si>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</si>
  <si>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</si>
  <si>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</si>
  <si>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</si>
  <si>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</si>
  <si>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</si>
  <si>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</si>
  <si>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</si>
  <si>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</si>
  <si>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</si>
  <si>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</si>
  <si>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</si>
  <si>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</si>
  <si>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</si>
  <si>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</si>
  <si>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</si>
  <si>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</si>
  <si>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</si>
  <si>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</si>
  <si>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</si>
  <si>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</si>
  <si>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</si>
  <si>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</si>
  <si>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</si>
  <si>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</si>
  <si>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</si>
  <si>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</si>
  <si>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</si>
  <si>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</si>
  <si>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</si>
  <si>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</si>
  <si>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</si>
  <si>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</si>
  <si>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</si>
  <si>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</si>
  <si>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</si>
  <si>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</si>
  <si>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</si>
  <si>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</si>
  <si>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</si>
  <si>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</si>
  <si>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</si>
  <si>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</si>
  <si>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</si>
  <si>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</si>
  <si>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</si>
  <si>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</si>
  <si>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</si>
  <si>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</si>
  <si>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</si>
  <si>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</si>
  <si>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</si>
  <si>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</si>
  <si>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</si>
  <si>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</si>
  <si>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</si>
  <si>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</si>
  <si>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</si>
  <si>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</si>
  <si>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</si>
  <si>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</si>
  <si>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</si>
  <si>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</si>
  <si>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</si>
  <si>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</si>
  <si>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</si>
  <si>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</si>
  <si>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</si>
  <si>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</si>
  <si>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</si>
  <si>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</si>
  <si>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</si>
  <si>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</si>
  <si>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</si>
  <si>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</si>
  <si>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</si>
  <si>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</si>
  <si>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</si>
  <si>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</si>
  <si>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</si>
  <si>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</si>
  <si>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</si>
  <si>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</si>
  <si>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</si>
  <si>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</si>
  <si>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</si>
  <si>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</si>
  <si>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</si>
  <si>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</si>
  <si>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</si>
  <si>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</si>
  <si>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</si>
  <si>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</si>
  <si>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</si>
  <si>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</si>
  <si>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</si>
  <si>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</si>
  <si>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</si>
  <si>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</si>
  <si>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</si>
  <si>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</si>
  <si>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</si>
  <si>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</si>
  <si>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</si>
  <si>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</si>
  <si>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</si>
  <si>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</si>
  <si>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</si>
  <si>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</si>
  <si>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</si>
  <si>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</si>
  <si>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</si>
  <si>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</si>
  <si>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</si>
  <si>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</si>
  <si>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</si>
  <si>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</si>
  <si>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</si>
  <si>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</si>
  <si>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</si>
  <si>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</si>
  <si>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</si>
  <si>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</si>
  <si>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</si>
  <si>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</si>
  <si>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</si>
  <si>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</si>
  <si>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</si>
  <si>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</si>
  <si>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</si>
  <si>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</si>
  <si>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</si>
  <si>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</si>
  <si>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</si>
  <si>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</si>
  <si>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</si>
  <si>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</si>
  <si>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</si>
  <si>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</si>
  <si>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</si>
  <si>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</si>
  <si>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</si>
  <si>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</si>
  <si>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</si>
  <si>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</si>
  <si>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</si>
  <si>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</si>
  <si>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</si>
  <si>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</si>
  <si>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</si>
  <si>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</si>
  <si>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</si>
  <si>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</si>
  <si>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</si>
  <si>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</si>
  <si>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</si>
  <si>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</si>
  <si>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</si>
  <si>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</si>
  <si>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</si>
  <si>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</si>
  <si>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</si>
  <si>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</si>
  <si>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</si>
  <si>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</si>
  <si>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</si>
  <si>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</si>
  <si>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</si>
  <si>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</si>
  <si>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</si>
  <si>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</si>
  <si>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</si>
  <si>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</si>
  <si>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</si>
  <si>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</si>
  <si>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</si>
  <si>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</si>
  <si>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</si>
  <si>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</si>
  <si>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</si>
  <si>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</si>
  <si>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</si>
  <si>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</si>
  <si>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</si>
  <si>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</si>
  <si>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</si>
  <si>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</si>
  <si>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</si>
  <si>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</si>
  <si>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</si>
  <si>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</si>
  <si>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</si>
  <si>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</si>
  <si>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</si>
  <si>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</si>
  <si>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</si>
  <si>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</si>
  <si>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</si>
  <si>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</si>
  <si>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</si>
  <si>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</si>
  <si>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</si>
  <si>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</si>
  <si>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</si>
  <si>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</si>
  <si>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</si>
  <si>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</si>
  <si>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</si>
  <si>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</si>
  <si>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</si>
  <si>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</si>
  <si>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</si>
  <si>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</si>
  <si>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</si>
  <si>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</si>
  <si>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</si>
  <si>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</si>
  <si>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</si>
  <si>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</si>
  <si>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</si>
  <si>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</si>
  <si>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</si>
  <si>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</si>
  <si>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</si>
  <si>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</si>
  <si>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</si>
  <si>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</si>
  <si>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</si>
  <si>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</si>
  <si>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</si>
  <si>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</si>
  <si>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</si>
  <si>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</si>
  <si>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</si>
  <si>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</si>
  <si>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</si>
  <si>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</si>
  <si>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</si>
  <si>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</si>
  <si>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</si>
  <si>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</si>
  <si>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</si>
  <si>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</si>
  <si>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</si>
  <si>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</si>
  <si>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</si>
  <si>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</si>
  <si>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</si>
  <si>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</si>
  <si>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</si>
  <si>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</si>
  <si>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</si>
  <si>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</si>
  <si>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</si>
  <si>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</si>
  <si>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</si>
  <si>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</si>
  <si>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</si>
  <si>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</si>
  <si>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</si>
  <si>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</si>
  <si>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</si>
  <si>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</si>
  <si>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</si>
  <si>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</si>
  <si>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</si>
  <si>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</si>
  <si>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</si>
  <si>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</si>
  <si>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</si>
  <si>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</si>
  <si>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</si>
  <si>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</si>
  <si>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</si>
  <si>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</si>
  <si>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</si>
  <si>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</si>
  <si>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</si>
  <si>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</si>
  <si>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</si>
  <si>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</si>
  <si>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</si>
  <si>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</si>
  <si>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</si>
  <si>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</si>
  <si>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</si>
  <si>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</si>
  <si>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</si>
  <si>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</si>
  <si>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</si>
  <si>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</si>
  <si>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</si>
  <si>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</si>
  <si>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</si>
  <si>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</si>
  <si>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</si>
  <si>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</si>
  <si>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</si>
  <si>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</si>
  <si>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</si>
  <si>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</si>
  <si>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</si>
  <si>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</si>
  <si>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</si>
  <si>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</si>
  <si>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</si>
  <si>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</si>
  <si>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</si>
  <si>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</si>
  <si>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</si>
  <si>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</si>
  <si>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</si>
  <si>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</si>
  <si>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</si>
  <si>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</si>
  <si>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</si>
  <si>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</si>
  <si>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</si>
  <si>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</si>
  <si>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</si>
  <si>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</si>
  <si>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</si>
  <si>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</si>
  <si>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</si>
  <si>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</si>
  <si>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</si>
  <si>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</si>
  <si>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</si>
  <si>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</si>
  <si>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</si>
  <si>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</si>
  <si>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</si>
  <si>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</si>
  <si>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</si>
  <si>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</si>
  <si>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</si>
  <si>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</si>
  <si>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</si>
  <si>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</si>
  <si>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</si>
  <si>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</si>
  <si>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</si>
  <si>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</si>
  <si>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</si>
  <si>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</si>
  <si>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</si>
  <si>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</si>
  <si>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</si>
  <si>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</si>
  <si>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</si>
  <si>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</si>
  <si>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</si>
  <si>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</si>
  <si>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</si>
  <si>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</si>
  <si>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</si>
  <si>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</si>
  <si>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</si>
  <si>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</si>
  <si>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</si>
  <si>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</si>
  <si>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</si>
  <si>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</si>
  <si>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</si>
  <si>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</si>
  <si>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</si>
  <si>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</si>
  <si>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</si>
  <si>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</si>
  <si>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</si>
  <si>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</si>
  <si>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</si>
  <si>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</si>
  <si>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</si>
  <si>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</si>
  <si>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</si>
  <si>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</si>
  <si>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</si>
  <si>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</si>
  <si>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</si>
  <si>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</si>
  <si>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</si>
  <si>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</si>
  <si>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</si>
  <si>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</si>
  <si>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</si>
  <si>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</si>
  <si>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</si>
  <si>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</si>
  <si>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</si>
  <si>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</si>
  <si>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</si>
  <si>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</si>
  <si>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</si>
  <si>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</si>
  <si>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</si>
  <si>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</si>
  <si>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</si>
  <si>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</si>
  <si>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</si>
  <si>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</si>
  <si>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</si>
  <si>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</si>
  <si>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</si>
  <si>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</si>
  <si>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</si>
  <si>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</si>
  <si>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</si>
  <si>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</si>
  <si>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</si>
  <si>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</si>
  <si>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</si>
  <si>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</si>
  <si>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</si>
  <si>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</si>
  <si>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</si>
  <si>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</si>
  <si>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</si>
  <si>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</si>
  <si>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</si>
  <si>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</si>
  <si>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</si>
  <si>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</si>
  <si>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</si>
  <si>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</si>
  <si>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</si>
  <si>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</si>
  <si>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</si>
  <si>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</si>
  <si>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</si>
  <si>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</si>
  <si>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</si>
  <si>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</si>
  <si>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</si>
  <si>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</si>
  <si>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</si>
  <si>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</si>
  <si>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</si>
  <si>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</si>
  <si>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</si>
  <si>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</si>
  <si>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</si>
  <si>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</si>
  <si>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</si>
  <si>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</si>
  <si>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</si>
  <si>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</si>
  <si>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</si>
  <si>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</si>
  <si>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</si>
  <si>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</si>
  <si>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</si>
  <si>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</si>
  <si>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</si>
  <si>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</si>
  <si>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</si>
  <si>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</si>
  <si>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</si>
  <si>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</si>
  <si>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</si>
  <si>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</si>
  <si>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</si>
  <si>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</si>
  <si>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</si>
  <si>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</si>
  <si>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</si>
  <si>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</si>
  <si>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</si>
  <si>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</si>
  <si>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</si>
  <si>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</si>
  <si>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</si>
  <si>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</si>
  <si>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</si>
  <si>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</si>
  <si>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</si>
  <si>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</si>
  <si>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</si>
  <si>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</si>
  <si>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</si>
  <si>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</si>
  <si>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</si>
  <si>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</si>
  <si>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</si>
  <si>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</si>
  <si>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</si>
  <si>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</si>
  <si>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</si>
  <si>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</si>
  <si>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</si>
  <si>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</si>
  <si>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</si>
  <si>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</si>
  <si>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</si>
  <si>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</si>
  <si>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</si>
  <si>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</si>
  <si>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</si>
  <si>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</si>
  <si>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</si>
  <si>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</si>
  <si>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</si>
  <si>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</si>
  <si>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</si>
  <si>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</si>
  <si>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</si>
  <si>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</si>
  <si>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</si>
  <si>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</si>
  <si>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</si>
  <si>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</si>
  <si>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</si>
  <si>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</si>
  <si>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</si>
  <si>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</si>
  <si>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</si>
  <si>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</si>
  <si>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</si>
  <si>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</si>
  <si>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</si>
  <si>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</si>
  <si>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</si>
  <si>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</si>
  <si>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</si>
  <si>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</si>
  <si>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</si>
  <si>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</si>
  <si>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</si>
  <si>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</si>
  <si>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</si>
  <si>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</si>
  <si>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</si>
  <si>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</si>
  <si>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</si>
  <si>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</si>
  <si>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</si>
  <si>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</si>
  <si>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</si>
  <si>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</si>
  <si>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</si>
  <si>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</si>
  <si>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</si>
  <si>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</si>
  <si>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</si>
  <si>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</si>
  <si>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</si>
  <si>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</si>
  <si>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</si>
  <si>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</si>
  <si>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</si>
  <si>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</si>
  <si>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</si>
  <si>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</si>
  <si>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</si>
  <si>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</si>
  <si>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</si>
  <si>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</si>
  <si>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</si>
  <si>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</si>
  <si>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</si>
  <si>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</si>
  <si>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</si>
  <si>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</si>
  <si>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</si>
  <si>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</si>
  <si>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</si>
  <si>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</si>
  <si>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</si>
  <si>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</si>
  <si>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</si>
  <si>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</si>
  <si>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</si>
  <si>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</si>
  <si>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</si>
  <si>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</si>
  <si>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</si>
  <si>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</si>
  <si>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</si>
  <si>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</si>
  <si>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</si>
  <si>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</si>
  <si>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</si>
  <si>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</si>
  <si>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</si>
  <si>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</si>
  <si>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</si>
  <si>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</si>
  <si>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</si>
  <si>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</si>
  <si>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</si>
  <si>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</si>
  <si>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</si>
  <si>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</si>
  <si>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</si>
  <si>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</si>
  <si>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</si>
  <si>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</si>
  <si>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</si>
  <si>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</si>
  <si>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</si>
  <si>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</si>
  <si>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</si>
  <si>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</si>
  <si>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</si>
  <si>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</si>
  <si>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</si>
  <si>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</si>
  <si>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</si>
  <si>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</si>
  <si>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</si>
  <si>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</si>
  <si>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</si>
  <si>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</si>
  <si>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</si>
  <si>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</si>
  <si>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</si>
  <si>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</si>
  <si>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</si>
  <si>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</si>
  <si>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</si>
  <si>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</si>
  <si>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</si>
  <si>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</si>
  <si>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</si>
  <si>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</si>
  <si>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</si>
  <si>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</si>
  <si>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</si>
  <si>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</si>
  <si>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</si>
  <si>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</si>
  <si>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</si>
  <si>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</si>
  <si>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</si>
  <si>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</si>
  <si>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</si>
  <si>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</si>
  <si>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</si>
  <si>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</si>
  <si>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</si>
  <si>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</si>
  <si>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</si>
  <si>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</si>
  <si>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</si>
  <si>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</si>
  <si>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</si>
  <si>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</si>
  <si>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</si>
  <si>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</si>
  <si>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</si>
  <si>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</si>
  <si>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</si>
  <si>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</si>
  <si>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</si>
  <si>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</si>
  <si>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</si>
  <si>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</si>
  <si>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</si>
  <si>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</si>
  <si>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</si>
  <si>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</si>
  <si>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</si>
  <si>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</si>
  <si>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</si>
  <si>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</si>
  <si>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</si>
  <si>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</si>
  <si>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</si>
  <si>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</si>
  <si>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</si>
  <si>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</si>
  <si>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</si>
  <si>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</si>
  <si>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</si>
  <si>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</si>
  <si>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</si>
  <si>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</si>
  <si>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</si>
  <si>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</si>
  <si>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</si>
  <si>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</si>
  <si>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</si>
  <si>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</si>
  <si>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</si>
  <si>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</si>
  <si>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</si>
  <si>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</si>
  <si>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</si>
  <si>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</si>
  <si>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</si>
  <si>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</si>
  <si>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</si>
  <si>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</si>
  <si>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</si>
  <si>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</si>
  <si>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</si>
  <si>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</si>
  <si>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</si>
  <si>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</si>
  <si>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</si>
  <si>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</si>
  <si>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</si>
  <si>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</si>
  <si>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</si>
  <si>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</si>
  <si>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</si>
  <si>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</si>
  <si>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</si>
  <si>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</si>
  <si>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</si>
  <si>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</si>
  <si>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</si>
  <si>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</si>
  <si>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</si>
  <si>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</si>
  <si>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</si>
  <si>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</si>
  <si>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</si>
  <si>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</si>
  <si>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</si>
  <si>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</si>
  <si>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</si>
  <si>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</si>
  <si>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</si>
  <si>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</si>
  <si>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</si>
  <si>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</si>
  <si>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</si>
  <si>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</si>
  <si>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</si>
  <si>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</si>
  <si>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</si>
  <si>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</si>
  <si>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</si>
  <si>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</si>
  <si>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</si>
  <si>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</si>
  <si>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</si>
  <si>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</si>
  <si>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</si>
  <si>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</si>
  <si>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</si>
  <si>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</si>
  <si>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</si>
  <si>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</si>
  <si>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</si>
  <si>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</si>
  <si>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</si>
  <si>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</si>
  <si>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</si>
  <si>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</si>
  <si>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</si>
  <si>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</si>
  <si>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</si>
  <si>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</si>
  <si>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</si>
  <si>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</si>
  <si>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</si>
  <si>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</si>
  <si>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</si>
  <si>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</si>
  <si>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</si>
  <si>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</si>
  <si>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</si>
  <si>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</si>
  <si>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</si>
  <si>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</si>
  <si>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</si>
  <si>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</si>
  <si>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</si>
  <si>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</si>
  <si>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</si>
  <si>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</si>
  <si>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</si>
  <si>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</si>
  <si>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</si>
  <si>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</si>
  <si>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</si>
  <si>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</si>
  <si>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</si>
  <si>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</si>
  <si>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</si>
  <si>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</si>
  <si>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</si>
  <si>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</si>
  <si>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</si>
  <si>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</si>
  <si>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</si>
  <si>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</si>
  <si>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</si>
  <si>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</si>
  <si>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</si>
  <si>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</si>
  <si>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</si>
  <si>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</si>
  <si>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</si>
  <si>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</si>
  <si>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</si>
  <si>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</si>
  <si>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</si>
  <si>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</si>
  <si>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</si>
  <si>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</si>
  <si>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</si>
  <si>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</si>
  <si>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</si>
  <si>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</si>
  <si>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</si>
  <si>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</si>
  <si>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</si>
  <si>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</si>
  <si>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</si>
  <si>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</si>
  <si>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</si>
  <si>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</si>
  <si>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</si>
  <si>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</si>
  <si>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</si>
  <si>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</si>
  <si>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</si>
  <si>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</si>
  <si>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</si>
  <si>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</si>
  <si>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</si>
  <si>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</si>
  <si>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</si>
  <si>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</si>
  <si>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</si>
  <si>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</si>
  <si>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</si>
  <si>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</si>
  <si>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</si>
  <si>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</si>
  <si>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</si>
  <si>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</si>
  <si>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</si>
  <si>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</si>
  <si>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</si>
  <si>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</si>
  <si>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</si>
  <si>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</si>
  <si>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</si>
  <si>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</si>
  <si>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</si>
  <si>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</si>
  <si>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</si>
  <si>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</si>
  <si>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</si>
  <si>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</si>
  <si>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</si>
  <si>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</si>
  <si>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</si>
  <si>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</si>
  <si>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</si>
  <si>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</si>
  <si>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</si>
  <si>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</si>
  <si>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</si>
  <si>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</si>
  <si>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</si>
  <si>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</si>
  <si>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</si>
  <si>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</si>
  <si>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</si>
  <si>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</si>
  <si>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</si>
  <si>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</si>
  <si>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</si>
  <si>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</si>
  <si>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</si>
  <si>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</si>
  <si>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</si>
  <si>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</si>
  <si>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</si>
  <si>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</si>
  <si>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</si>
  <si>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</si>
  <si>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</si>
  <si>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</si>
  <si>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</si>
  <si>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</si>
  <si>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</si>
  <si>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</si>
  <si>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</si>
  <si>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</si>
  <si>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</si>
  <si>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</si>
  <si>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</si>
  <si>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</si>
  <si>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</si>
  <si>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</si>
  <si>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</si>
  <si>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</si>
  <si>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</si>
  <si>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</si>
  <si>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</si>
  <si>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</si>
  <si>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</si>
  <si>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</si>
  <si>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</si>
  <si>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</si>
  <si>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</si>
  <si>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</si>
  <si>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</si>
  <si>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</si>
  <si>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</si>
  <si>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</si>
  <si>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</si>
  <si>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</si>
  <si>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</si>
  <si>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</si>
  <si>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</si>
  <si>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</si>
  <si>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</si>
  <si>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</si>
  <si>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</si>
  <si>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</si>
  <si>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</si>
  <si>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</si>
  <si>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</si>
  <si>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</si>
  <si>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</si>
  <si>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</si>
  <si>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</si>
  <si>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</si>
  <si>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</si>
  <si>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</si>
  <si>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</si>
  <si>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</si>
  <si>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</si>
  <si>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</si>
  <si>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</si>
  <si>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</si>
  <si>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</si>
  <si>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</si>
  <si>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</si>
  <si>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</si>
  <si>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</si>
  <si>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</si>
  <si>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</si>
  <si>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</si>
  <si>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</si>
  <si>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</si>
  <si>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</si>
  <si>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</si>
  <si>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</si>
  <si>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</si>
  <si>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</si>
  <si>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</si>
  <si>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</si>
  <si>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</si>
  <si>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</si>
  <si>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</si>
  <si>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</si>
  <si>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</si>
  <si>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</si>
  <si>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</si>
  <si>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</si>
  <si>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</si>
  <si>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</si>
  <si>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</si>
  <si>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</si>
  <si>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</si>
  <si>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</si>
  <si>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</si>
  <si>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</si>
  <si>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</si>
  <si>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</si>
  <si>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</si>
  <si>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</si>
  <si>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</si>
  <si>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</si>
  <si>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</si>
  <si>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</si>
  <si>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</si>
  <si>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</si>
  <si>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</si>
  <si>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</si>
  <si>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</si>
  <si>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</si>
  <si>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</si>
  <si>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</si>
  <si>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</si>
  <si>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</si>
  <si>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</si>
  <si>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</si>
  <si>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</si>
  <si>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</si>
  <si>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</si>
  <si>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</si>
  <si>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</si>
  <si>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</si>
  <si>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</si>
  <si>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</si>
  <si>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</si>
  <si>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</si>
  <si>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</si>
  <si>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</si>
  <si>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</si>
  <si>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</si>
  <si>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</si>
  <si>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</si>
  <si>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</si>
  <si>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</si>
  <si>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</si>
  <si>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</si>
  <si>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</si>
  <si>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</si>
  <si>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</si>
  <si>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</si>
  <si>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</si>
  <si>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</si>
  <si>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</si>
  <si>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</si>
  <si>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</si>
  <si>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</si>
  <si>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</si>
  <si>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</si>
  <si>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</si>
  <si>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</si>
  <si>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</si>
  <si>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</si>
  <si>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</si>
  <si>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</si>
  <si>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</si>
  <si>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</si>
  <si>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</si>
  <si>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</si>
  <si>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</si>
  <si>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</si>
  <si>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</si>
  <si>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</si>
  <si>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</si>
  <si>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</si>
  <si>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</si>
  <si>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</si>
  <si>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</si>
  <si>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</si>
  <si>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</si>
  <si>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</si>
  <si>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</si>
  <si>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</si>
  <si>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</si>
  <si>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</si>
  <si>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</si>
  <si>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</si>
  <si>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</si>
  <si>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</si>
  <si>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</si>
  <si>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</si>
  <si>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</si>
  <si>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</si>
  <si>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</si>
  <si>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</si>
  <si>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</si>
  <si>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</si>
  <si>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</si>
  <si>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</si>
  <si>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</si>
  <si>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</si>
  <si>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</si>
  <si>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</si>
  <si>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</si>
  <si>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</si>
  <si>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</si>
  <si>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</si>
  <si>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</si>
  <si>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</si>
  <si>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</si>
  <si>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</si>
  <si>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</si>
  <si>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</si>
  <si>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</si>
  <si>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</si>
  <si>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</si>
  <si>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</si>
  <si>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</si>
  <si>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</si>
  <si>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</si>
  <si>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</si>
  <si>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</si>
  <si>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</si>
  <si>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</si>
  <si>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</si>
  <si>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</si>
  <si>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</si>
  <si>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</si>
  <si>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</si>
  <si>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</si>
  <si>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</si>
  <si>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</si>
  <si>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</si>
  <si>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</si>
  <si>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</si>
  <si>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</si>
  <si>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</si>
  <si>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</si>
  <si>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</si>
  <si>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</si>
  <si>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</si>
  <si>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</si>
  <si>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</si>
  <si>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</si>
  <si>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</si>
  <si>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</si>
  <si>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</si>
  <si>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</si>
  <si>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</si>
  <si>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</si>
  <si>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</si>
  <si>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</si>
  <si>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</si>
  <si>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</si>
  <si>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</si>
  <si>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</si>
  <si>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</si>
  <si>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</si>
  <si>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</si>
  <si>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</si>
  <si>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</si>
  <si>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</si>
  <si>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</si>
  <si>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</si>
  <si>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</si>
  <si>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</si>
  <si>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</si>
  <si>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</si>
  <si>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</si>
  <si>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</si>
  <si>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</si>
  <si>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</si>
  <si>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</si>
  <si>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</si>
  <si>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</si>
  <si>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</si>
  <si>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</si>
  <si>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</si>
  <si>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</si>
  <si>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</si>
  <si>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</si>
  <si>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</si>
  <si>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</si>
  <si>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</si>
  <si>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</si>
  <si>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</si>
  <si>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</si>
  <si>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</si>
  <si>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</si>
  <si>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</si>
  <si>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</si>
  <si>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</si>
  <si>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</si>
  <si>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</si>
  <si>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</si>
  <si>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</si>
  <si>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</si>
  <si>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</si>
  <si>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</si>
  <si>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</si>
  <si>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</si>
  <si>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</si>
  <si>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</si>
  <si>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</si>
  <si>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</si>
  <si>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</si>
  <si>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</si>
  <si>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</si>
  <si>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</si>
  <si>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</si>
  <si>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</si>
  <si>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</si>
  <si>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</si>
  <si>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</si>
  <si>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</si>
  <si>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</si>
  <si>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</si>
  <si>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</si>
  <si>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</si>
  <si>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</si>
  <si>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</si>
  <si>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</si>
  <si>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</si>
  <si>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</si>
  <si>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</si>
  <si>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</si>
  <si>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</si>
  <si>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</si>
  <si>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</si>
  <si>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</si>
  <si>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</si>
  <si>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</si>
  <si>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</si>
  <si>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</si>
  <si>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</si>
  <si>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</si>
  <si>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</si>
  <si>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</si>
  <si>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</si>
  <si>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</si>
  <si>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</si>
  <si>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</si>
  <si>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</si>
  <si>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</si>
  <si>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</si>
  <si>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</si>
  <si>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</si>
  <si>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</si>
  <si>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</si>
  <si>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</si>
  <si>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</si>
  <si>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</si>
  <si>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</si>
  <si>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</si>
  <si>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</si>
  <si>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</si>
  <si>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</si>
  <si>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</si>
  <si>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</si>
  <si>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</si>
  <si>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</si>
  <si>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</si>
  <si>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</si>
  <si>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</si>
  <si>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</si>
  <si>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</si>
  <si>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</si>
  <si>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</si>
  <si>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</si>
  <si>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</si>
  <si>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</si>
  <si>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</si>
  <si>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</si>
  <si>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</si>
  <si>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</si>
  <si>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</si>
  <si>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</si>
  <si>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</si>
  <si>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</si>
  <si>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</si>
  <si>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</si>
  <si>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</si>
  <si>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</si>
  <si>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</si>
  <si>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</si>
  <si>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</si>
  <si>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</si>
  <si>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</si>
  <si>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</si>
  <si>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</si>
  <si>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</si>
  <si>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</si>
  <si>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</si>
  <si>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</si>
  <si>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</si>
  <si>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</si>
  <si>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</si>
  <si>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</si>
  <si>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</si>
  <si>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</si>
  <si>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</si>
  <si>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</si>
  <si>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</si>
  <si>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</si>
  <si>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</si>
  <si>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</si>
  <si>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</si>
  <si>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</si>
  <si>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</si>
  <si>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</si>
  <si>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</si>
  <si>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</si>
  <si>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</si>
  <si>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</si>
  <si>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</si>
  <si>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</si>
  <si>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</si>
  <si>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</si>
  <si>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</si>
  <si>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</si>
  <si>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</si>
  <si>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</si>
  <si>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</si>
  <si>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</si>
  <si>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</si>
  <si>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</si>
  <si>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</si>
  <si>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</si>
  <si>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</si>
  <si>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</si>
  <si>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</si>
  <si>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</si>
  <si>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</si>
  <si>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</si>
  <si>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</si>
  <si>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</si>
  <si>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</si>
  <si>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</si>
  <si>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</si>
  <si>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</si>
  <si>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</si>
  <si>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</si>
  <si>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</si>
  <si>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</si>
  <si>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</si>
  <si>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</si>
  <si>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</si>
  <si>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</si>
  <si>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</si>
  <si>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</si>
  <si>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</si>
  <si>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</si>
  <si>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</si>
  <si>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</si>
  <si>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</si>
  <si>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</si>
  <si>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</si>
  <si>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</si>
  <si>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</si>
  <si>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</si>
  <si>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</si>
  <si>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</si>
  <si>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</si>
  <si>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</si>
  <si>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</si>
  <si>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</si>
  <si>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</si>
  <si>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</si>
  <si>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</si>
  <si>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</si>
  <si>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</si>
  <si>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</si>
  <si>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</si>
  <si>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</si>
  <si>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</si>
  <si>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</si>
  <si>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</si>
  <si>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</si>
  <si>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</si>
  <si>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</si>
  <si>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</si>
  <si>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</si>
  <si>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</si>
  <si>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</si>
  <si>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</si>
  <si>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</si>
  <si>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</si>
  <si>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</si>
  <si>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</si>
  <si>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</si>
  <si>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</si>
  <si>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</si>
  <si>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</si>
  <si>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</si>
  <si>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</si>
  <si>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</si>
  <si>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</si>
  <si>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</si>
  <si>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</si>
  <si>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</si>
  <si>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</si>
  <si>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</si>
  <si>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</si>
  <si>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</si>
  <si>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</si>
  <si>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</si>
  <si>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</si>
  <si>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</si>
  <si>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</si>
  <si>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</si>
  <si>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</si>
  <si>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</si>
  <si>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</si>
  <si>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</si>
  <si>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</si>
  <si>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</si>
  <si>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</si>
  <si>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</si>
  <si>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</si>
  <si>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</si>
  <si>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</si>
  <si>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</si>
  <si>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</si>
  <si>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</si>
  <si>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</si>
  <si>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</si>
  <si>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</si>
  <si>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</si>
  <si>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</si>
  <si>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</si>
  <si>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</si>
  <si>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</si>
  <si>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</si>
  <si>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</si>
  <si>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</si>
  <si>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</si>
  <si>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</si>
  <si>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</si>
  <si>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</si>
  <si>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</si>
  <si>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</si>
  <si>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</si>
  <si>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</si>
  <si>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</si>
  <si>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</si>
  <si>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</si>
  <si>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</si>
  <si>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</si>
  <si>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</si>
  <si>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</si>
  <si>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</si>
  <si>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</si>
  <si>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</si>
  <si>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</si>
  <si>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</si>
  <si>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</si>
  <si>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</si>
  <si>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</si>
  <si>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</si>
  <si>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</si>
  <si>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</si>
  <si>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</si>
  <si>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</si>
  <si>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</si>
  <si>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</si>
  <si>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</si>
  <si>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</si>
  <si>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</si>
  <si>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</si>
  <si>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</si>
  <si>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</si>
  <si>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</si>
  <si>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</si>
  <si>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</si>
  <si>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</si>
  <si>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</si>
  <si>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</si>
  <si>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</si>
  <si>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</si>
  <si>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</si>
  <si>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</si>
  <si>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</si>
  <si>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</si>
  <si>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</si>
  <si>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</si>
  <si>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</si>
  <si>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</si>
  <si>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</si>
  <si>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</si>
  <si>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</si>
  <si>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</si>
  <si>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</si>
  <si>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</si>
  <si>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</si>
  <si>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</si>
  <si>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</si>
  <si>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</si>
  <si>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</si>
  <si>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</si>
  <si>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</si>
  <si>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</si>
  <si>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</si>
  <si>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</si>
  <si>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</si>
  <si>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</si>
  <si>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</si>
  <si>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</si>
  <si>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</si>
  <si>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</si>
  <si>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</si>
  <si>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</si>
  <si>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</si>
  <si>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</si>
  <si>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</si>
  <si>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</si>
  <si>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</si>
  <si>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</si>
  <si>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</si>
  <si>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</si>
  <si>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</si>
  <si>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</si>
  <si>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</si>
  <si>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</si>
  <si>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</si>
  <si>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</si>
  <si>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</si>
  <si>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</si>
  <si>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</si>
  <si>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</si>
  <si>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</si>
  <si>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</si>
  <si>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</si>
  <si>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</si>
  <si>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</si>
  <si>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</si>
  <si>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</si>
  <si>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</si>
  <si>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</si>
  <si>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</si>
  <si>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</si>
  <si>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</si>
  <si>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</si>
  <si>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</si>
  <si>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</si>
  <si>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</si>
  <si>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</si>
  <si>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</si>
  <si>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</si>
  <si>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</si>
  <si>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</si>
  <si>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</si>
  <si>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</si>
  <si>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</si>
  <si>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</si>
  <si>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</si>
  <si>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</si>
  <si>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</si>
  <si>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</si>
  <si>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</si>
  <si>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</si>
  <si>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</si>
  <si>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</si>
  <si>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</si>
  <si>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</si>
  <si>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</si>
  <si>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</si>
  <si>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</si>
  <si>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</si>
  <si>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</si>
  <si>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</si>
  <si>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</si>
  <si>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</si>
  <si>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</si>
  <si>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</si>
  <si>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</si>
  <si>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</si>
  <si>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</si>
  <si>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</si>
  <si>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</si>
  <si>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</si>
  <si>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</si>
  <si>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</si>
  <si>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</si>
  <si>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</si>
  <si>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</si>
  <si>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</si>
  <si>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</si>
  <si>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</si>
  <si>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</si>
  <si>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</si>
  <si>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</si>
  <si>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</si>
  <si>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</si>
  <si>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</si>
  <si>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</si>
  <si>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</si>
  <si>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</si>
  <si>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</si>
  <si>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</si>
  <si>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</si>
  <si>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</si>
  <si>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</si>
  <si>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</si>
  <si>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</si>
  <si>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</si>
  <si>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</si>
  <si>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</si>
  <si>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</si>
  <si>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</si>
  <si>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</si>
  <si>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</si>
  <si>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</si>
  <si>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</si>
  <si>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</si>
  <si>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</si>
  <si>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</si>
  <si>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</si>
  <si>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</si>
  <si>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</si>
  <si>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</si>
  <si>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</si>
  <si>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</si>
  <si>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</si>
  <si>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</si>
  <si>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</si>
  <si>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</si>
  <si>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</si>
  <si>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</si>
  <si>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</si>
  <si>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</si>
  <si>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</si>
  <si>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</si>
  <si>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</si>
  <si>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</si>
  <si>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</si>
  <si>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</si>
  <si>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</si>
  <si>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</si>
  <si>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</si>
  <si>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</si>
  <si>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</si>
  <si>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</si>
  <si>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</si>
  <si>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</si>
  <si>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</si>
  <si>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</si>
  <si>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</si>
  <si>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</si>
  <si>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</si>
  <si>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</si>
  <si>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</si>
  <si>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</si>
  <si>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</si>
  <si>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</si>
  <si>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</si>
  <si>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</si>
  <si>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</si>
  <si>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</si>
  <si>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</si>
  <si>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</si>
  <si>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</si>
  <si>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</si>
  <si>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</si>
  <si>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</si>
  <si>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</si>
  <si>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</si>
  <si>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</si>
  <si>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</si>
  <si>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</si>
  <si>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</si>
  <si>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</si>
  <si>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</si>
  <si>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</si>
  <si>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</si>
  <si>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</si>
  <si>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</si>
  <si>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</si>
  <si>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</si>
  <si>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</si>
  <si>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</si>
  <si>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</si>
  <si>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</si>
  <si>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</si>
  <si>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</si>
  <si>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</si>
  <si>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</si>
  <si>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</si>
  <si>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</si>
  <si>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</si>
  <si>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</si>
  <si>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</si>
  <si>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</si>
  <si>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</si>
  <si>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</si>
  <si>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</si>
  <si>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</si>
  <si>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</si>
  <si>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</si>
  <si>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</si>
  <si>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</si>
  <si>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</si>
  <si>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</si>
  <si>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</si>
  <si>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</si>
  <si>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</si>
  <si>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</si>
  <si>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</si>
  <si>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</si>
  <si>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</si>
  <si>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</si>
  <si>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</si>
  <si>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</si>
  <si>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</si>
  <si>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</si>
  <si>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</si>
  <si>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</si>
  <si>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</si>
  <si>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</si>
  <si>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</si>
  <si>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</si>
  <si>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</si>
  <si>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</si>
  <si>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</si>
  <si>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</si>
  <si>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</si>
  <si>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</si>
  <si>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</si>
  <si>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</si>
  <si>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</si>
  <si>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</si>
  <si>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</si>
  <si>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</si>
  <si>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</si>
  <si>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</si>
  <si>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</si>
  <si>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</si>
  <si>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</si>
  <si>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</si>
  <si>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</si>
  <si>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</si>
  <si>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</si>
  <si>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</si>
  <si>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</si>
  <si>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</si>
  <si>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</si>
  <si>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</si>
  <si>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</si>
  <si>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</si>
  <si>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</si>
  <si>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</si>
  <si>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</si>
  <si>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</si>
  <si>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</si>
  <si>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</si>
  <si>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</si>
  <si>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</si>
  <si>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</si>
  <si>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</si>
  <si>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</si>
  <si>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</si>
  <si>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</si>
  <si>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</si>
  <si>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</si>
  <si>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</si>
  <si>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</si>
  <si>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</si>
  <si>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</si>
  <si>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</si>
  <si>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</si>
  <si>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</si>
  <si>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</si>
  <si>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</si>
  <si>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</si>
  <si>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</si>
  <si>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</si>
  <si>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</si>
  <si>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</si>
  <si>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</si>
  <si>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</si>
  <si>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</si>
  <si>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</si>
  <si>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</si>
  <si>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</si>
  <si>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</si>
  <si>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</si>
  <si>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</si>
  <si>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</si>
  <si>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</si>
  <si>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</si>
  <si>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</si>
  <si>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</si>
  <si>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</si>
  <si>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</si>
  <si>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</si>
  <si>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</si>
  <si>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</si>
  <si>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</si>
  <si>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</si>
  <si>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</si>
  <si>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</si>
  <si>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</si>
  <si>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</si>
  <si>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</si>
  <si>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</si>
  <si>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</si>
  <si>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</si>
  <si>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</si>
  <si>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</si>
  <si>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</si>
  <si>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</si>
  <si>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</si>
  <si>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</si>
  <si>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</si>
  <si>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</si>
  <si>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</si>
  <si>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</si>
  <si>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</si>
  <si>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</si>
  <si>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</si>
  <si>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</si>
  <si>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</si>
  <si>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</si>
  <si>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</si>
  <si>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</si>
  <si>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</si>
  <si>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</si>
  <si>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</si>
  <si>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</si>
  <si>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</si>
  <si>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</si>
  <si>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</si>
  <si>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</si>
  <si>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</si>
  <si>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</si>
  <si>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</si>
  <si>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</si>
  <si>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</si>
  <si>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</si>
  <si>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</si>
  <si>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</si>
  <si>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</si>
  <si>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</si>
  <si>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</si>
  <si>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</si>
  <si>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</si>
  <si>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</si>
  <si>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</si>
  <si>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</si>
  <si>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</si>
  <si>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</si>
  <si>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</si>
  <si>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</si>
  <si>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</si>
  <si>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</si>
  <si>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</si>
  <si>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</si>
  <si>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</si>
  <si>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</si>
  <si>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</si>
  <si>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</si>
  <si>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</si>
  <si>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</si>
  <si>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</si>
  <si>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</si>
  <si>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</si>
  <si>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</si>
  <si>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</si>
  <si>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</si>
  <si>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</si>
  <si>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</si>
  <si>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</si>
  <si>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</si>
  <si>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</si>
  <si>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</si>
  <si>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</si>
  <si>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</si>
  <si>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</si>
  <si>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</si>
  <si>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</si>
  <si>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</si>
  <si>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</si>
  <si>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</si>
  <si>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</si>
  <si>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</si>
  <si>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</si>
  <si>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</si>
  <si>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</si>
  <si>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</si>
  <si>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</si>
  <si>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</si>
  <si>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</si>
  <si>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</si>
  <si>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</si>
  <si>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</si>
  <si>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</si>
  <si>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</si>
  <si>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</si>
  <si>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</si>
  <si>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</si>
  <si>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</si>
  <si>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</si>
  <si>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</si>
  <si>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</si>
  <si>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</si>
  <si>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</si>
  <si>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</si>
  <si>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</si>
  <si>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</si>
  <si>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</si>
  <si>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</si>
  <si>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</si>
  <si>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</si>
  <si>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</si>
  <si>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</si>
  <si>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</si>
  <si>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</si>
  <si>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</si>
  <si>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</si>
  <si>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</si>
  <si>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</si>
  <si>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</si>
  <si>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</si>
  <si>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</si>
  <si>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</si>
  <si>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</si>
  <si>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</si>
  <si>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</si>
  <si>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</si>
  <si>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</si>
  <si>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</si>
  <si>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</si>
  <si>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</si>
  <si>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</si>
  <si>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</si>
  <si>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</si>
  <si>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</si>
  <si>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</si>
  <si>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</si>
  <si>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</si>
  <si>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</si>
  <si>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</si>
  <si>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</si>
  <si>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</si>
  <si>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</si>
  <si>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</si>
  <si>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</si>
  <si>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</si>
  <si>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</si>
  <si>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</si>
  <si>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</si>
  <si>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</si>
  <si>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</si>
  <si>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</si>
  <si>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</si>
  <si>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</si>
  <si>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</si>
  <si>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</si>
  <si>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</si>
  <si>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</si>
  <si>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</si>
  <si>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</si>
  <si>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</si>
  <si>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</si>
  <si>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</si>
  <si>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</si>
  <si>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</si>
  <si>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</si>
  <si>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</si>
  <si>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</si>
  <si>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</si>
  <si>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</si>
  <si>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</si>
  <si>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</si>
  <si>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</si>
  <si>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</si>
  <si>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</si>
  <si>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</si>
  <si>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</si>
  <si>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</si>
  <si>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</si>
  <si>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</si>
  <si>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</si>
  <si>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</si>
  <si>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</si>
  <si>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</si>
  <si>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</si>
  <si>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</si>
  <si>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</si>
  <si>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</si>
  <si>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</si>
  <si>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</si>
  <si>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</si>
  <si>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</si>
  <si>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</si>
  <si>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</si>
  <si>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</si>
  <si>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</si>
  <si>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</si>
  <si>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</si>
  <si>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</si>
  <si>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</si>
  <si>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</si>
  <si>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</si>
  <si>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</si>
  <si>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</si>
  <si>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</si>
  <si>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</si>
  <si>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</si>
  <si>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</si>
  <si>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</si>
  <si>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</si>
  <si>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</si>
  <si>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</si>
  <si>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</si>
  <si>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</si>
  <si>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</si>
  <si>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</si>
  <si>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</si>
  <si>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</si>
  <si>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</si>
  <si>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</si>
  <si>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</si>
  <si>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</si>
  <si>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</si>
  <si>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</si>
  <si>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</si>
  <si>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</si>
  <si>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</si>
  <si>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</si>
  <si>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</si>
  <si>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</si>
  <si>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</si>
  <si>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</si>
  <si>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</si>
  <si>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</si>
  <si>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</si>
  <si>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</si>
  <si>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</si>
  <si>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</si>
  <si>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</si>
  <si>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</si>
  <si>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</si>
  <si>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</si>
  <si>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</si>
  <si>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</si>
  <si>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</si>
  <si>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</si>
  <si>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</si>
  <si>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</si>
  <si>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</si>
  <si>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</si>
  <si>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</si>
  <si>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</si>
  <si>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</si>
  <si>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</si>
  <si>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</si>
  <si>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</si>
  <si>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</si>
  <si>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</si>
  <si>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</si>
  <si>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</si>
  <si>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</si>
  <si>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</si>
  <si>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</si>
  <si>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</si>
  <si>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</si>
  <si>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</si>
  <si>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</si>
  <si>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</si>
  <si>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</si>
  <si>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</si>
  <si>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</si>
  <si>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</si>
  <si>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</si>
  <si>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</si>
  <si>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</si>
  <si>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</si>
  <si>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</si>
  <si>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</si>
  <si>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</si>
  <si>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</si>
  <si>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</si>
  <si>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</si>
  <si>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</si>
  <si>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</si>
  <si>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</si>
  <si>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</si>
  <si>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</si>
  <si>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</si>
  <si>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</si>
  <si>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</si>
  <si>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</si>
  <si>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</si>
  <si>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</si>
  <si>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</si>
  <si>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</si>
  <si>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</si>
  <si>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</si>
  <si>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</si>
  <si>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</si>
  <si>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</si>
  <si>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</si>
  <si>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</si>
  <si>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</si>
  <si>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</si>
  <si>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</si>
  <si>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</si>
  <si>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</si>
  <si>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</si>
  <si>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</si>
  <si>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</si>
  <si>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</si>
  <si>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</si>
  <si>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</si>
  <si>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</si>
  <si>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</si>
  <si>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</si>
  <si>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</si>
  <si>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</si>
  <si>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</si>
  <si>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</si>
  <si>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</si>
  <si>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</si>
  <si>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</si>
  <si>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</si>
  <si>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</si>
  <si>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</si>
  <si>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</si>
  <si>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</si>
  <si>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</si>
  <si>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</si>
  <si>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</si>
  <si>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</si>
  <si>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</si>
  <si>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</si>
  <si>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</si>
  <si>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</si>
  <si>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</si>
  <si>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</si>
  <si>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</si>
  <si>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</si>
  <si>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</si>
  <si>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</si>
  <si>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</si>
  <si>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</si>
  <si>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</si>
  <si>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</si>
  <si>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</si>
  <si>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</si>
  <si>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</si>
  <si>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</si>
  <si>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</si>
  <si>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</si>
  <si>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</si>
  <si>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</si>
  <si>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</si>
  <si>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</si>
  <si>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</si>
  <si>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</si>
  <si>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</si>
  <si>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</si>
  <si>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</si>
  <si>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</si>
  <si>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</si>
  <si>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</si>
  <si>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</si>
  <si>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</si>
  <si>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</si>
  <si>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</si>
  <si>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</si>
  <si>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</si>
  <si>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</si>
  <si>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</si>
  <si>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</si>
  <si>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</si>
  <si>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</si>
  <si>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</si>
  <si>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</si>
  <si>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</si>
  <si>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</si>
  <si>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</si>
  <si>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</si>
  <si>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</si>
  <si>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</si>
  <si>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</si>
  <si>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</si>
  <si>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</si>
  <si>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</si>
  <si>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</si>
  <si>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</si>
  <si>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</si>
  <si>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</si>
  <si>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</si>
  <si>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</si>
  <si>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</si>
  <si>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</si>
  <si>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</si>
  <si>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</si>
  <si>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</si>
  <si>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</si>
  <si>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</si>
  <si>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</si>
  <si>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</si>
  <si>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</si>
  <si>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</si>
  <si>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</si>
  <si>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</si>
  <si>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</si>
  <si>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</si>
  <si>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</si>
  <si>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</si>
  <si>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</si>
  <si>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</si>
  <si>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</si>
  <si>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</si>
  <si>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</si>
  <si>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</si>
  <si>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</si>
  <si>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</si>
  <si>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</si>
  <si>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</si>
  <si>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</si>
  <si>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</si>
  <si>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</si>
  <si>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</si>
  <si>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</si>
  <si>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</si>
  <si>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</si>
  <si>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</si>
  <si>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</si>
  <si>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</si>
  <si>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</si>
  <si>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</si>
  <si>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</si>
  <si>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</si>
  <si>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</si>
  <si>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</si>
  <si>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</si>
  <si>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</si>
  <si>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</si>
  <si>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</si>
  <si>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</si>
  <si>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</si>
  <si>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</si>
  <si>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</si>
  <si>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</si>
  <si>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</si>
  <si>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</si>
  <si>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</si>
  <si>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</si>
  <si>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</si>
  <si>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</si>
  <si>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</si>
  <si>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</si>
  <si>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</si>
  <si>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</si>
  <si>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</si>
  <si>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</si>
  <si>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</si>
  <si>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</si>
  <si>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</si>
  <si>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</si>
  <si>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</si>
  <si>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</si>
  <si>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</si>
  <si>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</si>
  <si>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</si>
  <si>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</si>
  <si>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</si>
  <si>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</si>
  <si>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</si>
  <si>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</si>
  <si>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</si>
  <si>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</si>
  <si>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</si>
  <si>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</si>
  <si>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</si>
  <si>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</si>
  <si>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</si>
  <si>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</si>
  <si>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</si>
  <si>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</si>
  <si>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</si>
  <si>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</si>
  <si>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</si>
  <si>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</si>
  <si>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</si>
  <si>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</si>
  <si>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</si>
  <si>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</si>
  <si>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</si>
  <si>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</si>
  <si>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</si>
  <si>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</si>
  <si>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</si>
  <si>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</si>
  <si>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</si>
  <si>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</si>
  <si>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</si>
  <si>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</si>
  <si>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</si>
  <si>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</si>
  <si>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</si>
  <si>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</si>
  <si>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</si>
  <si>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</si>
  <si>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</si>
  <si>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</si>
  <si>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</si>
  <si>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</si>
  <si>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</si>
  <si>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</si>
  <si>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</si>
  <si>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</si>
  <si>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</si>
  <si>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</si>
  <si>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</si>
  <si>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</si>
  <si>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</si>
  <si>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</si>
  <si>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</si>
  <si>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</si>
  <si>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</si>
  <si>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</si>
  <si>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</si>
  <si>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</si>
  <si>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</si>
  <si>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</si>
  <si>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</si>
  <si>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</si>
  <si>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</si>
  <si>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</si>
  <si>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</si>
  <si>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</si>
  <si>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</si>
  <si>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</si>
  <si>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</si>
  <si>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</si>
  <si>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</si>
  <si>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</si>
  <si>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</si>
  <si>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</si>
  <si>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</si>
  <si>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</si>
  <si>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</si>
  <si>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</si>
  <si>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</si>
  <si>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</si>
  <si>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</si>
  <si>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</si>
  <si>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</si>
  <si>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</si>
  <si>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</si>
  <si>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</si>
  <si>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</si>
  <si>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</si>
  <si>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</si>
  <si>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</si>
  <si>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</si>
  <si>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</si>
  <si>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</si>
  <si>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</si>
  <si>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</si>
  <si>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</si>
  <si>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</si>
  <si>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</si>
  <si>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</si>
  <si>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</si>
  <si>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</si>
  <si>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</si>
  <si>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</si>
  <si>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</si>
  <si>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</si>
  <si>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</si>
  <si>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</si>
  <si>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</si>
  <si>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</si>
  <si>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</si>
  <si>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</si>
  <si>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</si>
  <si>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</si>
  <si>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</si>
  <si>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</si>
  <si>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</si>
  <si>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</si>
  <si>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</si>
  <si>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</si>
  <si>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</si>
  <si>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</si>
  <si>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</si>
  <si>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</si>
  <si>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</si>
  <si>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</si>
  <si>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</si>
  <si>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</si>
  <si>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</si>
  <si>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</si>
  <si>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</si>
  <si>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</si>
  <si>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</si>
  <si>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</si>
  <si>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</si>
  <si>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</si>
  <si>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</si>
  <si>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</si>
  <si>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</si>
  <si>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</si>
  <si>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</si>
  <si>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</si>
  <si>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</si>
  <si>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</si>
  <si>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</si>
  <si>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</si>
  <si>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</si>
  <si>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</si>
  <si>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</si>
  <si>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</si>
  <si>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</si>
  <si>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</si>
  <si>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</si>
  <si>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</si>
  <si>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</si>
  <si>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</si>
  <si>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</si>
  <si>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</si>
  <si>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</si>
  <si>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</si>
  <si>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</si>
  <si>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</si>
  <si>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</si>
  <si>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</si>
  <si>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</si>
  <si>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</si>
  <si>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</si>
  <si>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</si>
  <si>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</si>
  <si>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</si>
  <si>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</si>
  <si>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</si>
  <si>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</si>
  <si>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</si>
  <si>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</si>
  <si>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</si>
  <si>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</si>
  <si>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</si>
  <si>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</si>
  <si>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</si>
  <si>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</si>
  <si>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</si>
  <si>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</si>
  <si>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</si>
  <si>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</si>
  <si>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</si>
  <si>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</si>
  <si>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</si>
  <si>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</si>
  <si>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</si>
  <si>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</si>
  <si>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</si>
  <si>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</si>
  <si>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</si>
  <si>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</si>
  <si>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</si>
  <si>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</si>
  <si>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</si>
  <si>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</si>
  <si>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</si>
  <si>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</si>
  <si>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</si>
  <si>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</si>
  <si>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</si>
  <si>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</si>
  <si>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</si>
  <si>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</si>
  <si>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</si>
  <si>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</si>
  <si>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</si>
  <si>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</si>
  <si>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</si>
  <si>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</si>
  <si>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</si>
  <si>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</si>
  <si>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</si>
  <si>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</si>
  <si>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</si>
  <si>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</si>
  <si>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</si>
  <si>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</si>
  <si>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</si>
  <si>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</si>
  <si>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</si>
  <si>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</si>
  <si>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</si>
  <si>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</si>
  <si>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</si>
  <si>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</si>
  <si>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</si>
  <si>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</si>
  <si>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</si>
  <si>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</si>
  <si>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</si>
  <si>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</si>
  <si>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</si>
  <si>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</si>
  <si>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</si>
  <si>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</si>
  <si>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</si>
  <si>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</si>
  <si>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</si>
  <si>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</si>
  <si>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</si>
  <si>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</si>
  <si>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</si>
  <si>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</si>
  <si>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</si>
  <si>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</si>
  <si>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</si>
  <si>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</si>
  <si>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</si>
  <si>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</si>
  <si>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</si>
  <si>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</si>
  <si>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</si>
  <si>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</si>
  <si>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</si>
  <si>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</si>
  <si>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</si>
  <si>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</si>
  <si>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</si>
  <si>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</si>
  <si>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</si>
  <si>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</si>
  <si>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</si>
  <si>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</si>
  <si>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</si>
  <si>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</si>
  <si>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</si>
  <si>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</si>
  <si>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</si>
  <si>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</si>
  <si>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</si>
  <si>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</si>
  <si>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</si>
  <si>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</si>
  <si>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</si>
  <si>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</si>
  <si>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</si>
  <si>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</si>
  <si>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</si>
  <si>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</si>
  <si>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</si>
  <si>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</si>
  <si>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</si>
  <si>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</si>
  <si>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</si>
  <si>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</si>
  <si>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</si>
  <si>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</si>
  <si>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</si>
  <si>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</si>
  <si>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</si>
  <si>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</si>
  <si>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</si>
  <si>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</si>
  <si>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</si>
  <si>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</si>
  <si>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</si>
  <si>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</si>
  <si>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</si>
  <si>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</si>
  <si>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</si>
  <si>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</si>
  <si>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</si>
  <si>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</si>
  <si>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</si>
  <si>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</si>
  <si>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</si>
  <si>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</si>
  <si>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</si>
  <si>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</si>
  <si>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</si>
  <si>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</si>
  <si>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</si>
  <si>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</si>
  <si>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</si>
  <si>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</si>
  <si>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</si>
  <si>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</si>
  <si>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</si>
  <si>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</si>
  <si>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</si>
  <si>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</si>
  <si>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</si>
  <si>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</si>
  <si>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</si>
  <si>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</si>
  <si>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</si>
  <si>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</si>
  <si>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</si>
  <si>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</si>
  <si>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</si>
  <si>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</si>
  <si>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</si>
  <si>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</si>
  <si>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</si>
  <si>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</si>
  <si>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</si>
  <si>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</si>
  <si>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</si>
  <si>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</si>
  <si>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</si>
  <si>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</si>
  <si>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</si>
  <si>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</si>
  <si>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</si>
  <si>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</si>
  <si>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</si>
  <si>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</si>
  <si>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</si>
  <si>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</si>
  <si>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</si>
  <si>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</si>
  <si>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</si>
  <si>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</si>
  <si>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</si>
  <si>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</si>
  <si>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06141106141074</t>
  </si>
  <si>
    <t>CAEX LOGISTICS S.A DE C.V.</t>
  </si>
  <si>
    <t>06143110181032</t>
  </si>
  <si>
    <t>CAPELLA SOLAR TSK GENSUN EL SALVADOR S.A DE C.V.</t>
  </si>
  <si>
    <t>06140604171014</t>
  </si>
  <si>
    <t>PV SERVICES EL SALVADOR S.A DE C.V.</t>
  </si>
  <si>
    <t>TSK ELECTRONICA Y ELECTRICIDAD S.A DE C.V.</t>
  </si>
  <si>
    <t>SERVICIOS Y LOGISTICA DE CARGA WALNYS</t>
  </si>
  <si>
    <t>CARLOS AQUILINO MURCIA RIVERA</t>
  </si>
  <si>
    <t>06141702061037</t>
  </si>
  <si>
    <t>06140103580052</t>
  </si>
  <si>
    <t>MIGUEL ANGEL WILLIAM ALFARO CABRERA</t>
  </si>
  <si>
    <t>03010901761015</t>
  </si>
  <si>
    <t>09030806550024</t>
  </si>
  <si>
    <t>10091907771010</t>
  </si>
  <si>
    <t>15041RESIN418342022</t>
  </si>
  <si>
    <t>22SD000C</t>
  </si>
  <si>
    <t>22SD000X</t>
  </si>
  <si>
    <t>22SD000F</t>
  </si>
  <si>
    <t>22SD000E</t>
  </si>
  <si>
    <t>23DS000E</t>
  </si>
  <si>
    <t>06143101550015</t>
  </si>
  <si>
    <t>BANCO AGRRICOLA, S.A. DE C.V.</t>
  </si>
  <si>
    <t>06142828031087</t>
  </si>
  <si>
    <t>06140802211056</t>
  </si>
  <si>
    <t>LUBRICANTES Y ACCESORIOS PARA AUTOMOVILES, S.A. DE C.V.</t>
  </si>
  <si>
    <t>06142209111080</t>
  </si>
  <si>
    <t>REFILL, S.A. DE C.V.</t>
  </si>
  <si>
    <t>EX SERV</t>
  </si>
  <si>
    <t>PROPORCIONALIDAD</t>
  </si>
  <si>
    <t>VENTA NO SUJETAS</t>
  </si>
  <si>
    <t>11</t>
  </si>
  <si>
    <t>06143008941561</t>
  </si>
  <si>
    <t>WALTER DAVID ESPINOZA MORAN</t>
  </si>
  <si>
    <t>EFRAIN MEDARDO PEÑA GUERRA</t>
  </si>
  <si>
    <t>JINMY DOUGLAS ALVARADO RAMOS</t>
  </si>
  <si>
    <t>07162602711019</t>
  </si>
  <si>
    <t>FREDY GUILLERMO CACERES RAFAELANO</t>
  </si>
  <si>
    <t>02092312731010</t>
  </si>
  <si>
    <t>CARLOS ANONIO BARRERA</t>
  </si>
  <si>
    <t>06042511681010</t>
  </si>
  <si>
    <t>MARIA ESTHER VASQUEZ E CRESPIN</t>
  </si>
  <si>
    <t>MIRIAM GAMEZ DE MENJIVAR</t>
  </si>
  <si>
    <t>06140304941160</t>
  </si>
  <si>
    <t>DANIEL ALBERTO RUBIO CARCAMO</t>
  </si>
  <si>
    <t>06142007771097</t>
  </si>
  <si>
    <t>ERNESTO VLADIMIR ARCE CHAMUL</t>
  </si>
  <si>
    <t>RETENCIONES 10%</t>
  </si>
  <si>
    <t>TORCO INDUSTRIAL, S.A. DE C.V.</t>
  </si>
  <si>
    <t>04120805651016</t>
  </si>
  <si>
    <t>06141109711173</t>
  </si>
  <si>
    <t>RENE MAURCIO GUZMAN CANALES</t>
  </si>
  <si>
    <t>05112509881023</t>
  </si>
  <si>
    <t>EVELIA ESMERALDA MENDEZ INOCENTE</t>
  </si>
  <si>
    <t>06141306680052</t>
  </si>
  <si>
    <t>ALEXNDER ANTONIO CORNEJO CHOTO</t>
  </si>
  <si>
    <t>05110205951057</t>
  </si>
  <si>
    <t>MELISSA ORTIZ PEDROZA</t>
  </si>
  <si>
    <t>01110901420016</t>
  </si>
  <si>
    <t>JORGE LOPEZ HIDALGO</t>
  </si>
  <si>
    <t>04</t>
  </si>
  <si>
    <t>06022609921019</t>
  </si>
  <si>
    <t>INVERSIONES MEJIA, S.A. DE C.V.</t>
  </si>
  <si>
    <t>06023010921017</t>
  </si>
  <si>
    <t>TALLERES SOLDATOR, S.A. DE C.V.</t>
  </si>
  <si>
    <t>06143101860017</t>
  </si>
  <si>
    <t>REPUESTOS CAMAHUATI S.A. DE C.V.</t>
  </si>
  <si>
    <t>23/11/2023</t>
  </si>
  <si>
    <t>06141006841176</t>
  </si>
  <si>
    <t>ISVA VIRGINIA MOLINA POSADA</t>
  </si>
  <si>
    <t>28/11/2023</t>
  </si>
  <si>
    <t>01/12/2023</t>
  </si>
  <si>
    <t>15/12/2023</t>
  </si>
  <si>
    <t>15041RESIN543902023</t>
  </si>
  <si>
    <t>23DS000C</t>
  </si>
  <si>
    <t>04/12/2023</t>
  </si>
  <si>
    <t>B66AA7E937E4E2EBF808A824502FF74</t>
  </si>
  <si>
    <t>11/12/2023</t>
  </si>
  <si>
    <t>AE7AEB392BAA4D02B214C322A92A6043</t>
  </si>
  <si>
    <t>18/12/2023</t>
  </si>
  <si>
    <t>1870864EA5CD4E778BC45011B9F2CBB7</t>
  </si>
  <si>
    <t>26/12/2023</t>
  </si>
  <si>
    <t>3A6A1CAB3D8145DBB40B55D6FF14B915</t>
  </si>
  <si>
    <t>14/12/2023</t>
  </si>
  <si>
    <t>08/12/2023</t>
  </si>
  <si>
    <t>07/12/2023</t>
  </si>
  <si>
    <t>05/12/2023</t>
  </si>
  <si>
    <t>22/12/2023</t>
  </si>
  <si>
    <t>29/12/2023</t>
  </si>
  <si>
    <t>20/12/2023</t>
  </si>
  <si>
    <t>03152602911077</t>
  </si>
  <si>
    <t>JOSE ROBERTO SANTOS GARCIA</t>
  </si>
  <si>
    <t>12171008181033</t>
  </si>
  <si>
    <t>29/11/2023</t>
  </si>
  <si>
    <t>E7946A96571B4D89B53C792214B8743C</t>
  </si>
  <si>
    <t>13/12/2023</t>
  </si>
  <si>
    <t>10073008741013</t>
  </si>
  <si>
    <t>JUAN RAMON MARTINEZ</t>
  </si>
  <si>
    <t>06022301690016</t>
  </si>
  <si>
    <t>ELMER RIVERA FLORES</t>
  </si>
  <si>
    <t>SUCURSAL</t>
  </si>
  <si>
    <t>QUITAR GUIONES</t>
  </si>
  <si>
    <t>TEXTO</t>
  </si>
  <si>
    <t>RESULTADO</t>
  </si>
  <si>
    <t>0614-060214-103-7</t>
  </si>
  <si>
    <t>012024</t>
  </si>
  <si>
    <t>RIVAS INTERIANO OSCAR HUMBERTO</t>
  </si>
  <si>
    <t>18/01/2024</t>
  </si>
  <si>
    <t>17/01/2024</t>
  </si>
  <si>
    <t>30/01/2024</t>
  </si>
  <si>
    <t>26/01/2024</t>
  </si>
  <si>
    <t>25/01/2024</t>
  </si>
  <si>
    <t>23/01/2024</t>
  </si>
  <si>
    <t>22/01/2024</t>
  </si>
  <si>
    <t>19/01/2024</t>
  </si>
  <si>
    <t>16/01/2024</t>
  </si>
  <si>
    <t>12/01/2024</t>
  </si>
  <si>
    <t>11/01/2024</t>
  </si>
  <si>
    <t>09/01/2024</t>
  </si>
  <si>
    <t>06/01/2024</t>
  </si>
  <si>
    <t>05/01/2024</t>
  </si>
  <si>
    <t>03/01/2024</t>
  </si>
  <si>
    <t>15CE940EEB2B4E94A85AFA7E99CC28A4</t>
  </si>
  <si>
    <t>15/01/2024</t>
  </si>
  <si>
    <t>4D8E452D96B24015BF886D8B551A2C81</t>
  </si>
  <si>
    <t>AFAAF3C0D42147ADAEC8E5E8F9A09F2F</t>
  </si>
  <si>
    <t>29/01/2024</t>
  </si>
  <si>
    <t>D918AA24B92840D0BB8AC8E7B2640B1E</t>
  </si>
  <si>
    <t>8B15A9CFC38442D9B0C892173DC86A11</t>
  </si>
  <si>
    <t>RESUMEN DEL MES</t>
  </si>
  <si>
    <t>VENTAS DEL MES</t>
  </si>
  <si>
    <t>COMPRAS DEL  MES</t>
  </si>
  <si>
    <t>RETENCIONES DEL 1%</t>
  </si>
  <si>
    <t>CCF</t>
  </si>
  <si>
    <t>COMPRAS EXENTAS</t>
  </si>
  <si>
    <t>CONSUMIDOR</t>
  </si>
  <si>
    <t>COMPRAS</t>
  </si>
  <si>
    <t>EXPORT</t>
  </si>
  <si>
    <t>NO SUJETA</t>
  </si>
  <si>
    <t>EXENTAS</t>
  </si>
  <si>
    <t>IMPUESTOS DEL MES A PAGAR</t>
  </si>
  <si>
    <t>PAGO A CUENTA</t>
  </si>
  <si>
    <t>TOTAL PAGO DE IMPUESTOS</t>
  </si>
  <si>
    <t>RET 1%</t>
  </si>
  <si>
    <t>RET 10%</t>
  </si>
  <si>
    <t>08/01/2024</t>
  </si>
  <si>
    <t>13/01/2024</t>
  </si>
  <si>
    <t>FCE7AB68C7454A84BE99C5E001D242E5</t>
  </si>
  <si>
    <t>F7F44AAAD9EF4D1CBE6B66F63FD6BE75</t>
  </si>
  <si>
    <t>19FE91C40C934E5683B74696EC4862A7</t>
  </si>
  <si>
    <t>A55BB1E84498480B931B7DD43AC379F5</t>
  </si>
  <si>
    <t>C46A3899-4DF8-4BB0-95CF-97299A9168F9</t>
  </si>
  <si>
    <t>C46A38994DF84BB095CF97299A9168F9</t>
  </si>
  <si>
    <t>10/01/2024</t>
  </si>
  <si>
    <t>02/01/2024</t>
  </si>
  <si>
    <t>2820</t>
  </si>
  <si>
    <t>4308</t>
  </si>
  <si>
    <t>4023</t>
  </si>
  <si>
    <t>2024C57ABF860454C3188746C30CC78BFAFGZVF</t>
  </si>
  <si>
    <t>4ED7C722A47649CD98B029CB59629050</t>
  </si>
  <si>
    <t>242401B96BA5328146BD0FBB85B8CAA783556HM</t>
  </si>
  <si>
    <t>E5C5A7C742BB4955A91D9000E067A0DB</t>
  </si>
  <si>
    <t>2024A8C830E22ED44A3C9FB313E4B91CFC77YUMN</t>
  </si>
  <si>
    <t>21250FE4222A4054AF565C23852BC759</t>
  </si>
  <si>
    <t>20240AB21DA2D60C40C2A8C955B312178EADCRLW</t>
  </si>
  <si>
    <t>2BA1D3E6337F4F619745CA943296BCB7</t>
  </si>
  <si>
    <t>2024B2AF0346A43D450594FB25C6E41FC2670PQB</t>
  </si>
  <si>
    <t>72AD5E6CC76A4AAD971EEC3E3D90C011</t>
  </si>
  <si>
    <t>ORELLANA VIDES MAURICIO ANIBAL</t>
  </si>
  <si>
    <t>TRINIDAD CASTILLO VICENTE ARTURO</t>
  </si>
  <si>
    <t>06142602650082</t>
  </si>
  <si>
    <t>029342152</t>
  </si>
  <si>
    <t>CASTILLO COLORADO GERSON UZZIEL</t>
  </si>
  <si>
    <t>022992702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</si>
</sst>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rgb="FF212529"/>
      <name val="Segoe UI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8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49" fontId="0" fillId="10" borderId="18" xfId="0" applyNumberFormat="1" applyFill="1" applyBorder="1" applyAlignment="1">
      <alignment horizontal="right"/>
    </xf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3" fillId="12" borderId="28" xfId="0" applyNumberFormat="1" applyFont="1" applyFill="1" applyBorder="1" applyAlignment="1">
      <alignment horizontal="center"/>
    </xf>
    <xf numFmtId="44" fontId="27" fillId="16" borderId="0" xfId="0" applyNumberFormat="1" applyFont="1" applyFill="1"/>
    <xf numFmtId="0" fontId="33" fillId="0" borderId="24" xfId="0" applyFont="1" applyBorder="1"/>
    <xf numFmtId="0" fontId="3" fillId="0" borderId="0" xfId="0" applyFont="1"/>
    <xf numFmtId="44" fontId="3" fillId="0" borderId="1" xfId="1" applyFont="1" applyFill="1" applyBorder="1"/>
    <xf numFmtId="49" fontId="0" fillId="10" borderId="17" xfId="0" quotePrefix="1" applyNumberFormat="1" applyFill="1" applyBorder="1" applyAlignment="1">
      <alignment horizontal="right"/>
    </xf>
    <xf numFmtId="0" fontId="0" fillId="17" borderId="0" xfId="0" applyFill="1"/>
    <xf numFmtId="44" fontId="34" fillId="0" borderId="0" xfId="1" applyFont="1"/>
    <xf numFmtId="0" fontId="0" fillId="18" borderId="0" xfId="0" applyFill="1"/>
    <xf numFmtId="44" fontId="0" fillId="5" borderId="0" xfId="1" applyFont="1" applyFill="1"/>
    <xf numFmtId="44" fontId="0" fillId="19" borderId="0" xfId="1" applyFont="1" applyFill="1"/>
    <xf numFmtId="44" fontId="0" fillId="12" borderId="0" xfId="1" applyFont="1" applyFill="1"/>
    <xf numFmtId="0" fontId="27" fillId="0" borderId="0" xfId="0" applyFont="1"/>
    <xf numFmtId="0" fontId="22" fillId="0" borderId="0" xfId="0" applyFont="1"/>
    <xf numFmtId="0" fontId="19" fillId="13" borderId="21" xfId="0" applyFont="1" applyFill="1" applyBorder="1"/>
    <xf numFmtId="0" fontId="0" fillId="20" borderId="0" xfId="0" applyFill="1"/>
    <xf numFmtId="0" fontId="0" fillId="21" borderId="0" xfId="0" applyFill="1"/>
    <xf numFmtId="44" fontId="0" fillId="20" borderId="0" xfId="1" applyFont="1" applyFill="1"/>
    <xf numFmtId="0" fontId="0" fillId="22" borderId="32" xfId="0" applyFill="1" applyBorder="1"/>
    <xf numFmtId="0" fontId="35" fillId="23" borderId="0" xfId="0" applyFont="1" applyFill="1"/>
    <xf numFmtId="0" fontId="0" fillId="23" borderId="0" xfId="0" applyFill="1"/>
    <xf numFmtId="0" fontId="0" fillId="23" borderId="33" xfId="0" applyFill="1" applyBorder="1"/>
    <xf numFmtId="0" fontId="0" fillId="12" borderId="0" xfId="0" applyFill="1"/>
    <xf numFmtId="0" fontId="0" fillId="24" borderId="32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23" borderId="0" xfId="0" applyNumberFormat="1" applyFill="1"/>
    <xf numFmtId="0" fontId="0" fillId="24" borderId="34" xfId="0" applyFill="1" applyBorder="1"/>
    <xf numFmtId="0" fontId="0" fillId="12" borderId="35" xfId="0" applyFill="1" applyBorder="1"/>
    <xf numFmtId="0" fontId="0" fillId="12" borderId="36" xfId="0" applyFill="1" applyBorder="1"/>
    <xf numFmtId="44" fontId="36" fillId="0" borderId="0" xfId="1" applyFont="1"/>
    <xf numFmtId="14" fontId="0" fillId="0" borderId="0" xfId="0" quotePrefix="1" applyNumberFormat="1"/>
    <xf numFmtId="0" fontId="37" fillId="0" borderId="0" xfId="0" applyFont="1"/>
    <xf numFmtId="0" fontId="38" fillId="0" borderId="0" xfId="0" applyFont="1"/>
    <xf numFmtId="0" fontId="38" fillId="0" borderId="37" xfId="0" applyFont="1" applyBorder="1"/>
    <xf numFmtId="44" fontId="38" fillId="0" borderId="37" xfId="1" applyFont="1" applyFill="1" applyBorder="1"/>
    <xf numFmtId="0" fontId="37" fillId="0" borderId="45" xfId="0" applyFont="1" applyBorder="1"/>
    <xf numFmtId="44" fontId="37" fillId="0" borderId="46" xfId="0" applyNumberFormat="1" applyFont="1" applyBorder="1"/>
    <xf numFmtId="0" fontId="37" fillId="0" borderId="47" xfId="0" applyFont="1" applyBorder="1"/>
    <xf numFmtId="44" fontId="38" fillId="0" borderId="37" xfId="0" applyNumberFormat="1" applyFont="1" applyBorder="1"/>
    <xf numFmtId="44" fontId="38" fillId="0" borderId="0" xfId="0" applyNumberFormat="1" applyFont="1"/>
    <xf numFmtId="0" fontId="23" fillId="25" borderId="24" xfId="0" applyFont="1" applyFill="1" applyBorder="1"/>
    <xf numFmtId="44" fontId="27" fillId="25" borderId="25" xfId="1" applyFont="1" applyFill="1" applyBorder="1"/>
    <xf numFmtId="44" fontId="22" fillId="25" borderId="0" xfId="0" applyNumberFormat="1" applyFont="1" applyFill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7" fillId="0" borderId="37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3" borderId="39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3" fillId="23" borderId="41" xfId="0" applyFont="1" applyFill="1" applyBorder="1" applyAlignment="1">
      <alignment horizontal="center" vertical="center"/>
    </xf>
    <xf numFmtId="0" fontId="3" fillId="23" borderId="42" xfId="0" applyFont="1" applyFill="1" applyBorder="1" applyAlignment="1">
      <alignment horizontal="center" vertical="center"/>
    </xf>
    <xf numFmtId="0" fontId="3" fillId="23" borderId="43" xfId="0" applyFont="1" applyFill="1" applyBorder="1" applyAlignment="1">
      <alignment horizontal="center" vertical="center"/>
    </xf>
    <xf numFmtId="0" fontId="3" fillId="23" borderId="44" xfId="0" applyFont="1" applyFill="1" applyBorder="1" applyAlignment="1">
      <alignment horizontal="center" vertical="center"/>
    </xf>
    <xf numFmtId="0" fontId="37" fillId="0" borderId="38" xfId="0" applyFont="1" applyBorder="1" applyAlignment="1">
      <alignment horizontal="center"/>
    </xf>
    <xf numFmtId="0" fontId="0" fillId="26" borderId="0" xfId="0" applyFill="1"/>
    <xf numFmtId="44" fontId="0" fillId="26" borderId="0" xfId="1" applyFont="1" applyFill="1"/>
  </cellXfs>
  <cellStyles count="2">
    <cellStyle name="Moneda" xfId="1" builtinId="4"/>
    <cellStyle name="Normal" xfId="0" builtinId="0"/>
  </cellStyles>
  <dxfs count="142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2" formatCode="0.0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209550</xdr:rowOff>
    </xdr:from>
    <xdr:to>
      <xdr:col>8</xdr:col>
      <xdr:colOff>619125</xdr:colOff>
      <xdr:row>16</xdr:row>
      <xdr:rowOff>84470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9240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73" totalsRowShown="0" headerRowDxfId="135" dataDxfId="134">
  <autoFilter ref="A2:T73" xr:uid="{00000000-000C-0000-FFFF-FFFF00000000}"/>
  <tableColumns count="20">
    <tableColumn id="1" xr3:uid="{00000000-0010-0000-0000-000001000000}" name="MES" dataDxfId="132"/>
    <tableColumn id="2" xr3:uid="{00000000-0010-0000-0000-000002000000}" name="FECHA" dataDxfId="131"/>
    <tableColumn id="3" xr3:uid="{00000000-0010-0000-0000-000003000000}" name="CLASE DE DOC" dataDxfId="130"/>
    <tableColumn id="4" xr3:uid="{00000000-0010-0000-0000-000004000000}" name="TIPO DE DOC" dataDxfId="129"/>
    <tableColumn id="5" xr3:uid="{00000000-0010-0000-0000-000005000000}" name="CORRELATIVO" dataDxfId="128"/>
    <tableColumn id="6" xr3:uid="{00000000-0010-0000-0000-000006000000}" name="NIT PROV" dataDxfId="127"/>
    <tableColumn id="7" xr3:uid="{00000000-0010-0000-0000-000007000000}" name="N PROVEEDOR" dataDxfId="126"/>
    <tableColumn id="8" xr3:uid="{00000000-0010-0000-0000-000008000000}" name="C. EXENTAS" dataDxfId="125" dataCellStyle="Moneda"/>
    <tableColumn id="9" xr3:uid="{00000000-0010-0000-0000-000009000000}" name="I. EXENTAS" dataDxfId="124" dataCellStyle="Moneda"/>
    <tableColumn id="10" xr3:uid="{00000000-0010-0000-0000-00000A000000}" name="IMPOR EX" dataDxfId="123" dataCellStyle="Moneda"/>
    <tableColumn id="11" xr3:uid="{00000000-0010-0000-0000-00000B000000}" name="C. GRAVADA" dataDxfId="122" dataCellStyle="Moneda"/>
    <tableColumn id="12" xr3:uid="{00000000-0010-0000-0000-00000C000000}" name="INTER GRAVA" dataDxfId="121" dataCellStyle="Moneda"/>
    <tableColumn id="13" xr3:uid="{00000000-0010-0000-0000-00000D000000}" name="IMPOR BIENES" dataDxfId="120" dataCellStyle="Moneda"/>
    <tableColumn id="14" xr3:uid="{00000000-0010-0000-0000-00000E000000}" name="IMPOR SERV" dataDxfId="119" dataCellStyle="Moneda"/>
    <tableColumn id="15" xr3:uid="{00000000-0010-0000-0000-00000F000000}" name="IVA" dataDxfId="118" dataCellStyle="Moneda"/>
    <tableColumn id="16" xr3:uid="{00000000-0010-0000-0000-000010000000}" name="TOTAL C." dataDxfId="117" dataCellStyle="Moneda"/>
    <tableColumn id="20" xr3:uid="{00000000-0010-0000-0000-000014000000}" name="DUI" dataDxfId="116" dataCellStyle="Moneda"/>
    <tableColumn id="17" xr3:uid="{00000000-0010-0000-0000-000011000000}" name="ANEXO 3" dataDxfId="115"/>
    <tableColumn id="19" xr3:uid="{00000000-0010-0000-0000-000013000000}" name="SERIE" dataDxfId="114"/>
    <tableColumn id="18" xr3:uid="{00000000-0010-0000-0000-000012000000}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U39" totalsRowShown="0">
  <autoFilter ref="A2:U39" xr:uid="{00000000-000C-0000-FFFF-FFFF01000000}">
    <filterColumn colId="0">
      <filters>
        <filter val="Enero"/>
      </filters>
    </filterColumn>
  </autoFilter>
  <tableColumns count="21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1"/>
    <tableColumn id="10" xr3:uid="{00000000-0010-0000-0100-00000A000000}" name="NOMBRE DE CLIENTE"/>
    <tableColumn id="11" xr3:uid="{00000000-0010-0000-0100-00000B000000}" name="VENTA EXENTA" dataDxfId="110" dataCellStyle="Moneda"/>
    <tableColumn id="12" xr3:uid="{00000000-0010-0000-0100-00000C000000}" name="VENTA NO SUJETA" dataDxfId="109" dataCellStyle="Moneda"/>
    <tableColumn id="13" xr3:uid="{00000000-0010-0000-0100-00000D000000}" name="V. GRAVADA" dataDxfId="108" dataCellStyle="Moneda"/>
    <tableColumn id="14" xr3:uid="{00000000-0010-0000-0100-00000E000000}" name="D.FISCAL" dataDxfId="107" dataCellStyle="Moneda"/>
    <tableColumn id="15" xr3:uid="{00000000-0010-0000-0100-00000F000000}" name="V CTA DE 3" dataDxfId="106" dataCellStyle="Moneda"/>
    <tableColumn id="16" xr3:uid="{00000000-0010-0000-0100-000010000000}" name="D. FISCAL A 3" dataDxfId="105" dataCellStyle="Moneda"/>
    <tableColumn id="17" xr3:uid="{00000000-0010-0000-0100-000011000000}" name="VENTA TOTAL" dataDxfId="104" dataCellStyle="Moneda"/>
    <tableColumn id="20" xr3:uid="{00000000-0010-0000-0100-000014000000}" name="DUI" dataDxfId="103" dataCellStyle="Moneda"/>
    <tableColumn id="18" xr3:uid="{00000000-0010-0000-0100-000012000000}" name="ANEXO"/>
    <tableColumn id="1" xr3:uid="{F0C62574-F570-4CB8-9795-D0B863802015}" name="SUCURSAL" dataDxfId="102" dataCellStyle="Moneda"/>
    <tableColumn id="21" xr3:uid="{A48E4363-8114-4182-9373-5923EB740565}" name="Columna1" dataDxfId="101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2" totalsRowShown="0" dataDxfId="100" dataCellStyle="Moneda">
  <autoFilter ref="A2:V12" xr:uid="{00000000-000C-0000-FFFF-FFFF02000000}">
    <filterColumn colId="0">
      <filters>
        <filter val="ENERO"/>
      </filters>
    </filterColumn>
  </autoFilter>
  <tableColumns count="22">
    <tableColumn id="1" xr3:uid="{00000000-0010-0000-0200-000001000000}" name="MES"/>
    <tableColumn id="2" xr3:uid="{00000000-0010-0000-0200-000002000000}" name="FECHA" dataDxfId="99"/>
    <tableColumn id="3" xr3:uid="{00000000-0010-0000-0200-000003000000}" name="CLASE DE DOC"/>
    <tableColumn id="4" xr3:uid="{00000000-0010-0000-0200-000004000000}" name="TIPO DE DOC" dataDxfId="98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7" dataCellStyle="Moneda"/>
    <tableColumn id="13" xr3:uid="{00000000-0010-0000-0200-00000D000000}" name="VENTAS NO" dataDxfId="96" dataCellStyle="Moneda"/>
    <tableColumn id="14" xr3:uid="{00000000-0010-0000-0200-00000E000000}" name="V NO SUJETAS" dataDxfId="95" dataCellStyle="Moneda"/>
    <tableColumn id="15" xr3:uid="{00000000-0010-0000-0200-00000F000000}" name="V GRAVADAS" dataDxfId="94" dataCellStyle="Moneda"/>
    <tableColumn id="16" xr3:uid="{00000000-0010-0000-0200-000010000000}" name="EX IN CA" dataDxfId="93" dataCellStyle="Moneda"/>
    <tableColumn id="17" xr3:uid="{00000000-0010-0000-0200-000011000000}" name="EX OUT CA" dataDxfId="92" dataCellStyle="Moneda"/>
    <tableColumn id="18" xr3:uid="{00000000-0010-0000-0200-000012000000}" name="EX SERVICE" dataDxfId="91" dataCellStyle="Moneda"/>
    <tableColumn id="19" xr3:uid="{00000000-0010-0000-0200-000013000000}" name="V ZONA FRAN" dataDxfId="90" dataCellStyle="Moneda"/>
    <tableColumn id="20" xr3:uid="{00000000-0010-0000-0200-000014000000}" name="V CTA A 3ERO" dataDxfId="89" dataCellStyle="Moneda"/>
    <tableColumn id="21" xr3:uid="{00000000-0010-0000-0200-000015000000}" name="TOTAL VENTA" dataDxfId="88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11" totalsRowCount="1" headerRowDxfId="87" headerRowBorderDxfId="86" tableBorderDxfId="85">
  <tableColumns count="10">
    <tableColumn id="1" xr3:uid="{00000000-0010-0000-0300-000001000000}" name="Mes" totalsRowLabel="Total" dataDxfId="84"/>
    <tableColumn id="10" xr3:uid="{00000000-0010-0000-0300-00000A000000}" name="NCR" dataDxfId="83"/>
    <tableColumn id="2" xr3:uid="{00000000-0010-0000-0300-000002000000}" name="NIT Agente" dataDxfId="82"/>
    <tableColumn id="3" xr3:uid="{00000000-0010-0000-0300-000003000000}" name="Fecha de emisión" dataDxfId="81" totalsRowDxfId="80"/>
    <tableColumn id="4" xr3:uid="{00000000-0010-0000-0300-000004000000}" name="Tipo de documento" totalsRowFunction="sum" dataDxfId="79" totalsRowDxfId="78"/>
    <tableColumn id="5" xr3:uid="{00000000-0010-0000-0300-000005000000}" name="Serie" totalsRowFunction="sum" dataDxfId="77" totalsRowDxfId="76"/>
    <tableColumn id="6" xr3:uid="{00000000-0010-0000-0300-000006000000}" name="Número de documento" dataDxfId="75" totalsRowDxfId="74"/>
    <tableColumn id="7" xr3:uid="{00000000-0010-0000-0300-000007000000}" name="Monto sujeto" totalsRowFunction="sum" dataDxfId="73" totalsRowDxfId="72" dataCellStyle="Moneda"/>
    <tableColumn id="13" xr3:uid="{00000000-0010-0000-0300-00000D000000}" name="Monto Retención 1%" totalsRowFunction="sum" dataDxfId="71" totalsRowDxfId="70" dataCellStyle="Moneda"/>
    <tableColumn id="8" xr3:uid="{00000000-0010-0000-0300-000008000000}" name="ANEXO" dataDxfId="69" totalsRowDxfId="68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7" headerRowBorderDxfId="66" tableBorderDxfId="65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4"/>
    <tableColumn id="10" xr3:uid="{00000000-0010-0000-0400-00000A000000}" name="NCR" dataDxfId="63"/>
    <tableColumn id="2" xr3:uid="{00000000-0010-0000-0400-000002000000}" name="NIT Agente" dataDxfId="62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1">
      <calculatedColumnFormula>VLOOKUP(Tabla69[[#This Row],[Columna5]],'[2]LIBRO '!$A$1:$B$1007,2,FALSE)</calculatedColumnFormula>
    </tableColumn>
    <tableColumn id="17" xr3:uid="{00000000-0010-0000-0400-000011000000}" name="Columna5" dataDxfId="60">
      <calculatedColumnFormula>VLOOKUP(Tabla69[[#This Row],[NIT Agente]],Tabla4[#All],2,FALSE)</calculatedColumnFormula>
    </tableColumn>
    <tableColumn id="12" xr3:uid="{00000000-0010-0000-0400-00000C000000}" name="Columna2" dataDxfId="59" totalsRowDxfId="58">
      <calculatedColumnFormula>VLOOKUP(Tabla69[[#This Row],[Columna1]],'[2]LIBRO '!$A$1:$B$902,2,FALSE)</calculatedColumnFormula>
    </tableColumn>
    <tableColumn id="11" xr3:uid="{00000000-0010-0000-0400-00000B000000}" name="Columna1" dataDxfId="57">
      <calculatedColumnFormula>VLOOKUP(Tabla69[[#This Row],[NIT Agente]],Tabla4[#All],2,FALSE)</calculatedColumnFormula>
    </tableColumn>
    <tableColumn id="3" xr3:uid="{00000000-0010-0000-0400-000003000000}" name="Fecha de emisión" dataDxfId="56"/>
    <tableColumn id="4" xr3:uid="{00000000-0010-0000-0400-000004000000}" name="Tipo de documento" totalsRowFunction="sum" dataDxfId="55" totalsRowDxfId="54"/>
    <tableColumn id="5" xr3:uid="{00000000-0010-0000-0400-000005000000}" name="Serie" totalsRowFunction="sum" dataDxfId="53" totalsRowDxfId="52"/>
    <tableColumn id="6" xr3:uid="{00000000-0010-0000-0400-000006000000}" name="Número de documento" totalsRowFunction="sum" dataDxfId="51" totalsRowDxfId="50"/>
    <tableColumn id="7" xr3:uid="{00000000-0010-0000-0400-000007000000}" name="Monto sujeto" totalsRowFunction="sum" dataDxfId="49" totalsRowDxfId="48" dataCellStyle="Moneda"/>
    <tableColumn id="13" xr3:uid="{00000000-0010-0000-0400-00000D000000}" name="Columna3" dataDxfId="47" totalsRowDxfId="46" dataCellStyle="Moneda"/>
    <tableColumn id="8" xr3:uid="{00000000-0010-0000-0400-000008000000}" name="Monto Retención 1%" totalsRowFunction="sum" dataDxfId="45" totalsRowDxfId="44" dataCellStyle="Moneda"/>
    <tableColumn id="9" xr3:uid="{00000000-0010-0000-0400-000009000000}" name="Número de anexo" dataDxfId="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53" totalsRowShown="0">
  <autoFilter ref="A1:B4553" xr:uid="{00000000-0009-0000-0100-000004000000}"/>
  <tableColumns count="2">
    <tableColumn id="1" xr3:uid="{00000000-0010-0000-0500-000001000000}" name="NIT" dataDxfId="42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8" totalsRowCount="1" headerRowDxfId="41" dataDxfId="40" headerRowCellStyle="Moneda" dataCellStyle="Moneda">
  <autoFilter ref="A2:S7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39" totalsRowDxfId="38" dataCellStyle="Moneda"/>
    <tableColumn id="8" xr3:uid="{00000000-0010-0000-0600-000008000000}" name="MONTO DEVENGADO POR BONIFICACIONES Y GRATIFICACIONES " totalsRowFunction="sum" dataDxfId="37" totalsRowDxfId="36" dataCellStyle="Moneda"/>
    <tableColumn id="9" xr3:uid="{00000000-0010-0000-0600-000009000000}" name="IMPUESTO RETENIDO " totalsRowFunction="sum" dataDxfId="35" totalsRowDxfId="34" dataCellStyle="Moneda"/>
    <tableColumn id="10" xr3:uid="{00000000-0010-0000-0600-00000A000000}" name="AGUINALDO EXENTO " totalsRowFunction="sum" dataDxfId="33" totalsRowDxfId="32" dataCellStyle="Moneda"/>
    <tableColumn id="11" xr3:uid="{00000000-0010-0000-0600-00000B000000}" name="AGUINALDO GRAVADO " totalsRowFunction="sum" dataDxfId="31" totalsRowDxfId="30" dataCellStyle="Moneda"/>
    <tableColumn id="12" xr3:uid="{00000000-0010-0000-0600-00000C000000}" name="AFP" totalsRowFunction="sum" dataDxfId="29" totalsRowDxfId="28" dataCellStyle="Moneda"/>
    <tableColumn id="13" xr3:uid="{00000000-0010-0000-0600-00000D000000}" name="ISSS" totalsRowFunction="sum" dataDxfId="27" totalsRowDxfId="26" dataCellStyle="Moneda"/>
    <tableColumn id="14" xr3:uid="{00000000-0010-0000-0600-00000E000000}" name="INPEP" totalsRowFunction="sum" dataDxfId="25" totalsRowDxfId="24" dataCellStyle="Moneda"/>
    <tableColumn id="15" xr3:uid="{00000000-0010-0000-0600-00000F000000}" name="IPSFA" totalsRowFunction="sum" dataDxfId="23" totalsRowDxfId="22" dataCellStyle="Moneda"/>
    <tableColumn id="16" xr3:uid="{00000000-0010-0000-0600-000010000000}" name="CEFAFA" totalsRowFunction="sum" dataDxfId="21" totalsRowDxfId="20" dataCellStyle="Moneda"/>
    <tableColumn id="17" xr3:uid="{00000000-0010-0000-0600-000011000000}" name="BIENESTAR MAGISTERIAL" totalsRowFunction="sum" dataDxfId="19" totalsRowDxfId="18" dataCellStyle="Moneda"/>
    <tableColumn id="18" xr3:uid="{00000000-0010-0000-0600-000012000000}" name="ISSS IVM " totalsRowFunction="sum" dataDxfId="17" totalsRow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G19" totalsRowShown="0" headerRowDxfId="15" dataDxfId="13" headerRowBorderDxfId="14" tableBorderDxfId="12" totalsRowBorderDxfId="11">
  <tableColumns count="4">
    <tableColumn id="1" xr3:uid="{00000000-0010-0000-0700-000001000000}" name="Columna1" dataDxfId="10"/>
    <tableColumn id="2" xr3:uid="{00000000-0010-0000-0700-000002000000}" name="ENERO" dataDxfId="9" dataCellStyle="Moneda"/>
    <tableColumn id="3" xr3:uid="{00000000-0010-0000-0700-000003000000}" name="SUMAS" dataDxfId="8">
      <calculatedColumnFormula>IFERROR(+E1+E2-E3,"")</calculatedColumnFormula>
    </tableColumn>
    <tableColumn id="4" xr3:uid="{70D0EEA8-D4BF-4DE4-8EFA-C82E1AD44593}" name="Columna2" dataDxfId="7"/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image" Target="../media/image6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K17" sqref="K1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64" t="s">
        <v>9296</v>
      </c>
      <c r="H2" s="165"/>
      <c r="I2" s="165"/>
      <c r="J2" s="165"/>
      <c r="K2" s="166"/>
    </row>
    <row r="3" spans="2:12 16384:16384" ht="17.25" x14ac:dyDescent="0.3">
      <c r="B3" s="23" t="s">
        <v>17</v>
      </c>
      <c r="D3" s="47" t="s">
        <v>8491</v>
      </c>
      <c r="G3" s="137" t="s">
        <v>9297</v>
      </c>
      <c r="H3" s="138" t="s">
        <v>9346</v>
      </c>
      <c r="I3" s="139"/>
      <c r="J3" s="139"/>
      <c r="K3" s="140"/>
      <c r="L3" s="141">
        <f>LEN(H3)</f>
        <v>36</v>
      </c>
      <c r="XFD3" t="s">
        <v>8491</v>
      </c>
    </row>
    <row r="4" spans="2:12 16384:16384" x14ac:dyDescent="0.25">
      <c r="B4" s="23" t="s">
        <v>2</v>
      </c>
      <c r="D4" s="46" t="s">
        <v>9349</v>
      </c>
      <c r="G4" s="142" t="s">
        <v>9298</v>
      </c>
      <c r="H4" s="141" t="str">
        <f>SUBSTITUTE(H3,"-","")</f>
        <v>C46A38994DF84BB095CF97299A9168F9</v>
      </c>
      <c r="I4" s="141"/>
      <c r="J4" s="141"/>
      <c r="K4" s="143"/>
      <c r="L4" s="141">
        <f t="shared" ref="L4:L8" si="0"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44"/>
      <c r="K5" s="145"/>
      <c r="L5" s="141">
        <f t="shared" si="0"/>
        <v>0</v>
      </c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44"/>
      <c r="K6" s="145"/>
      <c r="L6" s="141">
        <f t="shared" si="0"/>
        <v>0</v>
      </c>
      <c r="XFD6" t="s">
        <v>8488</v>
      </c>
    </row>
    <row r="7" spans="2:12 16384:16384" x14ac:dyDescent="0.25">
      <c r="B7" s="23" t="s">
        <v>5</v>
      </c>
      <c r="D7" s="43"/>
      <c r="G7" s="137" t="s">
        <v>9297</v>
      </c>
      <c r="H7" s="146" t="s">
        <v>9299</v>
      </c>
      <c r="I7" s="139"/>
      <c r="J7" s="139"/>
      <c r="K7" s="140"/>
      <c r="L7" s="141">
        <f t="shared" si="0"/>
        <v>17</v>
      </c>
      <c r="XFD7" t="s">
        <v>8490</v>
      </c>
    </row>
    <row r="8" spans="2:12 16384:16384" x14ac:dyDescent="0.25">
      <c r="B8" s="23" t="s">
        <v>6</v>
      </c>
      <c r="D8" s="44" t="s">
        <v>5246</v>
      </c>
      <c r="G8" s="147" t="s">
        <v>9298</v>
      </c>
      <c r="H8" s="148" t="str">
        <f>SUBSTITUTE(H7,"-","")</f>
        <v>06140602141037</v>
      </c>
      <c r="I8" s="148"/>
      <c r="J8" s="148"/>
      <c r="K8" s="149"/>
      <c r="L8" s="141">
        <f t="shared" si="0"/>
        <v>14</v>
      </c>
      <c r="XFD8" t="s">
        <v>8489</v>
      </c>
    </row>
    <row r="9" spans="2:12 16384:16384" x14ac:dyDescent="0.25">
      <c r="B9" s="23" t="s">
        <v>70</v>
      </c>
      <c r="D9" s="101" t="str">
        <f>IFERROR(IF(D8&lt;&gt;"",VLOOKUP(D8,Tabla4[#All],2,0),IF(D19&lt;&gt;0,VLOOKUP(D8,Tabla4[#All],2,0),0)),"")</f>
        <v>FONDO DE ACTIV. ESPEC. M.O.P. TRANSP. VIVIENDA Y DESARROLLO URBANO</v>
      </c>
      <c r="XFD9" t="s">
        <v>9012</v>
      </c>
    </row>
    <row r="10" spans="2:12 16384:16384" x14ac:dyDescent="0.25">
      <c r="B10" s="23" t="s">
        <v>7</v>
      </c>
      <c r="D10" s="102">
        <v>0</v>
      </c>
      <c r="F10" s="2"/>
      <c r="XFD10" t="s">
        <v>9013</v>
      </c>
    </row>
    <row r="11" spans="2:12 16384:16384" hidden="1" x14ac:dyDescent="0.25">
      <c r="B11" s="23" t="s">
        <v>8</v>
      </c>
      <c r="D11" s="102">
        <v>0</v>
      </c>
      <c r="F11" s="2"/>
      <c r="XFD11" t="s">
        <v>9014</v>
      </c>
    </row>
    <row r="12" spans="2:12 16384:16384" hidden="1" x14ac:dyDescent="0.25">
      <c r="B12" s="23" t="s">
        <v>9</v>
      </c>
      <c r="D12" s="102">
        <v>0</v>
      </c>
      <c r="F12" s="2"/>
      <c r="XFD12" t="s">
        <v>9015</v>
      </c>
    </row>
    <row r="13" spans="2:12 16384:16384" x14ac:dyDescent="0.25">
      <c r="B13" s="23" t="s">
        <v>10</v>
      </c>
      <c r="D13" s="103"/>
      <c r="F13" s="15"/>
      <c r="XFD13" t="s">
        <v>9016</v>
      </c>
    </row>
    <row r="14" spans="2:12 16384:16384" x14ac:dyDescent="0.25">
      <c r="B14" s="23" t="s">
        <v>11</v>
      </c>
      <c r="D14" s="102">
        <v>0</v>
      </c>
      <c r="F14" s="2"/>
      <c r="XFD14" t="s">
        <v>9017</v>
      </c>
    </row>
    <row r="15" spans="2:12 16384:16384" x14ac:dyDescent="0.25">
      <c r="B15" s="23" t="s">
        <v>13</v>
      </c>
      <c r="D15" s="103">
        <v>0</v>
      </c>
      <c r="F15" s="2"/>
    </row>
    <row r="16" spans="2:12 16384:16384" x14ac:dyDescent="0.25">
      <c r="B16" s="23" t="s">
        <v>12</v>
      </c>
      <c r="D16" s="102">
        <v>0</v>
      </c>
      <c r="F16" s="2"/>
    </row>
    <row r="17" spans="2:6" x14ac:dyDescent="0.25">
      <c r="B17" s="23" t="s">
        <v>14</v>
      </c>
      <c r="D17" s="102">
        <f>+(D16++D15+D14+D13)*0.13</f>
        <v>0</v>
      </c>
      <c r="F17" s="2"/>
    </row>
    <row r="18" spans="2:6" x14ac:dyDescent="0.25">
      <c r="B18" s="23" t="s">
        <v>15</v>
      </c>
      <c r="D18" s="102">
        <f>+SUBTOTAL(9,D10,D11,D12,D13,D14,D15,D16,D17)</f>
        <v>0</v>
      </c>
      <c r="F18" s="2"/>
    </row>
    <row r="19" spans="2:6" x14ac:dyDescent="0.25">
      <c r="B19" s="23" t="s">
        <v>7943</v>
      </c>
      <c r="D19" s="104" t="s">
        <v>7868</v>
      </c>
    </row>
    <row r="20" spans="2:6" x14ac:dyDescent="0.25">
      <c r="B20" s="23" t="s">
        <v>16</v>
      </c>
      <c r="D20" s="104" t="s">
        <v>8045</v>
      </c>
    </row>
    <row r="21" spans="2:6" x14ac:dyDescent="0.25">
      <c r="B21" s="23" t="s">
        <v>68</v>
      </c>
      <c r="D21" s="107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8946</v>
      </c>
      <c r="C1" s="55" t="s">
        <v>8945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8922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2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8882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2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8882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8943</v>
      </c>
      <c r="O4" t="str">
        <f t="shared" si="4"/>
        <v>06140802181017</v>
      </c>
      <c r="P4" t="s">
        <v>8944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2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8942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2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8846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2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8876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2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8849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2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8876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2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8915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2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8915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2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8915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2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8915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2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8936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2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8913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2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8941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2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8909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2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8876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2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8877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2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8877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2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8917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2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8878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2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8878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2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8878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2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8916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2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8916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2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8916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2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8916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2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8916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2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8912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8933</v>
      </c>
      <c r="O30" t="str">
        <f t="shared" si="4"/>
        <v>06141802881201</v>
      </c>
      <c r="P30" t="s">
        <v>8934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2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8912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2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8880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2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8880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2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8880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2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8915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2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8915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2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8881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2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8882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8938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2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8882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2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8882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2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8882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2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8882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2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8882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2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8882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2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8937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2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8936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2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8936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2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8914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8935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2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8914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2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8914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2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8913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2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8913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2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8913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2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8849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2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8849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2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8849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2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8849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2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8849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2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8826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8933</v>
      </c>
      <c r="O59" t="str">
        <f t="shared" si="4"/>
        <v>06141802881201</v>
      </c>
      <c r="P59" t="s">
        <v>8934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2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8827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2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8827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2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8932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2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8846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2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8828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2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8845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2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8834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2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8834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2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2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2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2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2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2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2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8921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2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8920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2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8919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2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8918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2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8911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2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8910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2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8909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2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8876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2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8877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2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8917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2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8917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2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8917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2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8917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2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8917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2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8917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2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8917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2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8878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2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8879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2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8879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2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8879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2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8916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2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8916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2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8912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2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8915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2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8881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2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8882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2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8882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2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8882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2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8914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2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8914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2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8913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2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8913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2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8849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2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8849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2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2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8828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2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8828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2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2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8832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8870</v>
      </c>
      <c r="O112" t="str">
        <f t="shared" si="9"/>
        <v>06141203201065</v>
      </c>
      <c r="P112" t="s">
        <v>8871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2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2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2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8839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2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8849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2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8849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2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8849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2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8849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2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8849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2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8834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2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8834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2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8849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2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8869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8864</v>
      </c>
      <c r="O124" t="str">
        <f t="shared" si="9"/>
        <v>12051405761016</v>
      </c>
      <c r="P124" t="s">
        <v>8865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2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8849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2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8826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2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8827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2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8827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2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8828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2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8828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8868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8867</v>
      </c>
      <c r="AA130" s="112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8828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2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8829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2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8830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2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8830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2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8831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2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8832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2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8832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2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8832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2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8832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2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8833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2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8833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2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8834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2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8834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2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8834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2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8834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2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8835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2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8835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2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8866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2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8837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2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8837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2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8837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2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8837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2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8837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2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8837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2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8838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2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8838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2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8838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2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8838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8864</v>
      </c>
      <c r="O158" t="str">
        <f t="shared" si="14"/>
        <v>12051405761016</v>
      </c>
      <c r="P158" t="s">
        <v>8865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2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8843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2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8843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2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8839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2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8840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8862</v>
      </c>
      <c r="O162" t="str">
        <f t="shared" si="14"/>
        <v>06141808121063</v>
      </c>
      <c r="P162" t="s">
        <v>8863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2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8861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2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8842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2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2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2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2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2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2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2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8860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2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2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2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2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8849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2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8827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8847</v>
      </c>
      <c r="O176" t="str">
        <f t="shared" si="14"/>
        <v>03021608841022</v>
      </c>
      <c r="P176" t="s">
        <v>8848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2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8827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2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8827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2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8846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2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8828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2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8828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2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8829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2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8829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2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8829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2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8829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2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8829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2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8829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2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8830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2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8830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2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8845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2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8845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2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8845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2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8831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2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8831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2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8834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2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8834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2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8834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2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8834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2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8834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2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8834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2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8834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2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8834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2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8835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2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8836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2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8836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2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8837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2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8844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2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8844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2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8844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2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8844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2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8843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2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8843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2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8843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2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8843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2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8839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2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8842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2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8842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2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2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2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2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2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2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8841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2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8841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2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2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2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2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2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2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2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2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2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2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2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2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2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2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2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2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2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2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2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2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2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2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2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2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2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2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2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2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2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2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2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2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2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2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2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2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2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2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2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2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2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2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2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2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2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2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2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2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2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2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2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2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2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2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2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2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2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2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2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2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2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2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2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2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2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2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2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2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2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2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2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2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2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2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2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2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2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2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2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2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2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2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2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2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2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2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2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2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2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2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2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2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2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2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2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2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2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2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2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2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2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2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2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2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2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2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2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2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2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2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2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2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2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2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2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2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2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2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2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2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2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2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2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2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2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2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2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2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2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2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2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2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2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2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2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2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2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2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2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2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2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2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2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2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2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2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2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2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2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2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2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2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2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2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2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2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2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2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2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2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2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2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2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2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2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2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2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2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2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2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2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2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2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2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2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2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2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2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2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2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2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2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2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2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2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2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2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2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2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2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2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2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2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2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2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2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2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2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2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2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2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2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2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2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2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2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2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2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2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2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2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2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2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2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2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2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2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2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2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2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2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2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2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2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2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2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2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2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2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2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2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2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2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2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2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2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2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2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2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2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2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2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2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2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2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2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2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2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2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2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2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2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2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2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2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2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2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2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2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2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2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2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2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2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2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2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2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2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2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2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2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2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2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2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2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2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2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2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2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2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2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2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2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2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2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2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2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2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2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2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2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2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2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2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2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2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2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2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2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2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2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2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2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2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2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2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2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2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2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2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2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2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2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2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2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2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2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2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2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2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2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2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2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2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2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2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2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2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2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2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2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2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2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2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2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2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2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2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2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2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2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2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2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2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2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2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2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2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2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2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2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2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2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2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2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2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2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2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2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2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2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2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2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2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2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2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2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2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2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2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2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2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2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2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2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2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2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2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2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2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2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2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2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2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2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2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2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2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2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2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2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2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2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2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2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2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2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2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2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2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2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2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2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2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2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2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2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2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2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2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2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2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2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2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2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2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2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2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2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2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2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2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2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2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2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2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2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2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2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2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2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2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2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2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2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2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2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2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2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2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2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2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2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2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2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2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41" priority="1"/>
    <cfRule type="duplicateValues" dxfId="140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15"/>
  <sheetViews>
    <sheetView tabSelected="1" zoomScaleNormal="100" workbookViewId="0">
      <selection activeCell="G64" sqref="G6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111" customWidth="1"/>
    <col min="9" max="9" width="12.5703125" style="111" customWidth="1"/>
    <col min="10" max="10" width="13.42578125" style="111" bestFit="1" customWidth="1"/>
    <col min="11" max="11" width="14.28515625" style="111" customWidth="1"/>
    <col min="12" max="12" width="15.140625" style="111" customWidth="1"/>
    <col min="13" max="13" width="15.85546875" style="111" customWidth="1"/>
    <col min="14" max="14" width="14.140625" style="111" customWidth="1"/>
    <col min="15" max="15" width="12.85546875" style="111" customWidth="1"/>
    <col min="16" max="17" width="14.140625" style="111" customWidth="1"/>
    <col min="18" max="20" width="11.42578125" customWidth="1"/>
  </cols>
  <sheetData>
    <row r="1" spans="1:21" x14ac:dyDescent="0.25">
      <c r="C1" s="122"/>
      <c r="D1" s="122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11" t="s">
        <v>7</v>
      </c>
      <c r="I2" s="111" t="s">
        <v>8</v>
      </c>
      <c r="J2" s="111" t="s">
        <v>9</v>
      </c>
      <c r="K2" s="111" t="s">
        <v>10</v>
      </c>
      <c r="L2" s="111" t="s">
        <v>11</v>
      </c>
      <c r="M2" s="111" t="s">
        <v>13</v>
      </c>
      <c r="N2" s="111" t="s">
        <v>12</v>
      </c>
      <c r="O2" s="111" t="s">
        <v>14</v>
      </c>
      <c r="P2" s="111" t="s">
        <v>15</v>
      </c>
      <c r="Q2" s="111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9349</v>
      </c>
      <c r="C3" t="s">
        <v>7706</v>
      </c>
      <c r="D3" t="s">
        <v>0</v>
      </c>
      <c r="E3">
        <v>1155557</v>
      </c>
      <c r="F3" t="s">
        <v>5246</v>
      </c>
      <c r="G3" t="s">
        <v>5247</v>
      </c>
      <c r="H3" s="2">
        <v>0</v>
      </c>
      <c r="I3" s="2">
        <v>0</v>
      </c>
      <c r="J3" s="2">
        <v>0</v>
      </c>
      <c r="K3" s="15">
        <v>46.27</v>
      </c>
      <c r="L3" s="2">
        <v>0</v>
      </c>
      <c r="M3" s="2">
        <v>0</v>
      </c>
      <c r="N3" s="2">
        <v>0</v>
      </c>
      <c r="O3" s="2">
        <v>6.0151000000000003</v>
      </c>
      <c r="P3" s="2">
        <v>52.2851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9311</v>
      </c>
      <c r="C4" t="s">
        <v>7706</v>
      </c>
      <c r="D4" t="s">
        <v>0</v>
      </c>
      <c r="E4">
        <v>668</v>
      </c>
      <c r="F4" t="s">
        <v>9231</v>
      </c>
      <c r="G4" s="125" t="s">
        <v>9232</v>
      </c>
      <c r="H4" s="2">
        <v>0</v>
      </c>
      <c r="I4" s="2">
        <v>0</v>
      </c>
      <c r="J4" s="2">
        <v>0</v>
      </c>
      <c r="K4" s="15">
        <v>49.42</v>
      </c>
      <c r="L4" s="2">
        <v>0</v>
      </c>
      <c r="M4" s="2">
        <v>0</v>
      </c>
      <c r="N4" s="2">
        <v>0</v>
      </c>
      <c r="O4" s="2">
        <v>6.4246000000000008</v>
      </c>
      <c r="P4" s="2">
        <v>55.8446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9348</v>
      </c>
      <c r="C5" t="s">
        <v>7706</v>
      </c>
      <c r="D5" t="s">
        <v>0</v>
      </c>
      <c r="E5">
        <v>137</v>
      </c>
      <c r="F5" t="s">
        <v>9208</v>
      </c>
      <c r="G5" t="s">
        <v>9229</v>
      </c>
      <c r="H5" s="2">
        <v>0</v>
      </c>
      <c r="I5" s="2">
        <v>0</v>
      </c>
      <c r="J5" s="2">
        <v>0</v>
      </c>
      <c r="K5" s="15">
        <v>38.950000000000003</v>
      </c>
      <c r="L5" s="2">
        <v>0</v>
      </c>
      <c r="M5" s="2">
        <v>0</v>
      </c>
      <c r="N5" s="2">
        <v>0</v>
      </c>
      <c r="O5" s="2">
        <v>5.0635000000000003</v>
      </c>
      <c r="P5" s="2">
        <v>44.013500000000001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9313</v>
      </c>
      <c r="C6" s="21" t="s">
        <v>9255</v>
      </c>
      <c r="D6" t="s">
        <v>0</v>
      </c>
      <c r="E6" t="s">
        <v>9347</v>
      </c>
      <c r="F6" t="s">
        <v>2796</v>
      </c>
      <c r="G6" t="s">
        <v>2797</v>
      </c>
      <c r="H6" s="2">
        <v>0</v>
      </c>
      <c r="I6" s="2">
        <v>0</v>
      </c>
      <c r="J6" s="2">
        <v>0</v>
      </c>
      <c r="K6" s="15">
        <v>17.5</v>
      </c>
      <c r="L6" s="2">
        <v>0</v>
      </c>
      <c r="M6" s="2">
        <v>0</v>
      </c>
      <c r="N6" s="2">
        <v>0</v>
      </c>
      <c r="O6" s="2">
        <v>2.2749999999999999</v>
      </c>
      <c r="P6" s="2">
        <v>19.774999999999999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9312</v>
      </c>
      <c r="C7" s="21" t="s">
        <v>9255</v>
      </c>
      <c r="D7" t="s">
        <v>0</v>
      </c>
      <c r="E7" t="s">
        <v>9345</v>
      </c>
      <c r="F7" t="s">
        <v>3529</v>
      </c>
      <c r="G7" t="s">
        <v>3530</v>
      </c>
      <c r="H7" s="2">
        <v>0</v>
      </c>
      <c r="I7" s="2">
        <v>0</v>
      </c>
      <c r="J7" s="2">
        <v>0</v>
      </c>
      <c r="K7" s="15">
        <v>190.27</v>
      </c>
      <c r="L7" s="2">
        <v>0</v>
      </c>
      <c r="M7" s="2">
        <v>0</v>
      </c>
      <c r="N7" s="2">
        <v>0</v>
      </c>
      <c r="O7" s="2">
        <v>24.735100000000003</v>
      </c>
      <c r="P7" s="2">
        <v>215.00510000000003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9312</v>
      </c>
      <c r="C8" s="21" t="s">
        <v>9255</v>
      </c>
      <c r="D8" t="s">
        <v>0</v>
      </c>
      <c r="E8" t="s">
        <v>9344</v>
      </c>
      <c r="F8" t="s">
        <v>1317</v>
      </c>
      <c r="G8" t="s">
        <v>1318</v>
      </c>
      <c r="H8" s="2">
        <v>0</v>
      </c>
      <c r="I8" s="2">
        <v>0</v>
      </c>
      <c r="J8" s="2">
        <v>0</v>
      </c>
      <c r="K8" s="15">
        <v>2.39</v>
      </c>
      <c r="L8" s="2">
        <v>0</v>
      </c>
      <c r="M8" s="2">
        <v>0</v>
      </c>
      <c r="N8" s="2">
        <v>0</v>
      </c>
      <c r="O8" s="2">
        <v>0.31070000000000003</v>
      </c>
      <c r="P8" s="2">
        <v>2.7007000000000003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t="s">
        <v>9303</v>
      </c>
      <c r="C9" s="21" t="s">
        <v>9255</v>
      </c>
      <c r="D9" t="s">
        <v>0</v>
      </c>
      <c r="E9" t="s">
        <v>9343</v>
      </c>
      <c r="F9" t="s">
        <v>2404</v>
      </c>
      <c r="G9" t="s">
        <v>2405</v>
      </c>
      <c r="H9" s="2">
        <v>0</v>
      </c>
      <c r="I9" s="2">
        <v>0</v>
      </c>
      <c r="J9" s="2">
        <v>0</v>
      </c>
      <c r="K9" s="15">
        <v>60</v>
      </c>
      <c r="L9" s="2">
        <v>0</v>
      </c>
      <c r="M9" s="2">
        <v>0</v>
      </c>
      <c r="N9" s="2">
        <v>0</v>
      </c>
      <c r="O9" s="2">
        <v>7.8000000000000007</v>
      </c>
      <c r="P9" s="2">
        <v>67.8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9305</v>
      </c>
      <c r="C10" s="21" t="s">
        <v>9255</v>
      </c>
      <c r="D10" t="s">
        <v>0</v>
      </c>
      <c r="E10" t="s">
        <v>9342</v>
      </c>
      <c r="F10" t="s">
        <v>2404</v>
      </c>
      <c r="G10" t="s">
        <v>2405</v>
      </c>
      <c r="H10" s="2">
        <v>0</v>
      </c>
      <c r="I10" s="2">
        <v>0</v>
      </c>
      <c r="J10" s="2">
        <v>0</v>
      </c>
      <c r="K10" s="15">
        <v>15.42</v>
      </c>
      <c r="L10" s="2">
        <v>0</v>
      </c>
      <c r="M10" s="2">
        <v>0</v>
      </c>
      <c r="N10" s="2">
        <v>0</v>
      </c>
      <c r="O10" s="2">
        <v>2.0045999999999999</v>
      </c>
      <c r="P10" s="2">
        <v>17.424599999999998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9305</v>
      </c>
      <c r="C11" t="s">
        <v>7706</v>
      </c>
      <c r="D11" t="s">
        <v>0</v>
      </c>
      <c r="E11">
        <v>22778</v>
      </c>
      <c r="F11" t="s">
        <v>1674</v>
      </c>
      <c r="G11" t="s">
        <v>1675</v>
      </c>
      <c r="H11" s="2">
        <v>0</v>
      </c>
      <c r="I11" s="2">
        <v>0</v>
      </c>
      <c r="J11" s="2">
        <v>0</v>
      </c>
      <c r="K11" s="15">
        <v>22.5</v>
      </c>
      <c r="L11" s="2">
        <v>0</v>
      </c>
      <c r="M11" s="2">
        <v>0</v>
      </c>
      <c r="N11" s="2">
        <v>0</v>
      </c>
      <c r="O11" s="2">
        <v>2.9250000000000003</v>
      </c>
      <c r="P11" s="2">
        <v>25.425000000000001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8491</v>
      </c>
      <c r="B12" t="s">
        <v>9305</v>
      </c>
      <c r="C12" t="s">
        <v>7706</v>
      </c>
      <c r="D12" t="s">
        <v>0</v>
      </c>
      <c r="E12">
        <v>27900</v>
      </c>
      <c r="F12" t="s">
        <v>9293</v>
      </c>
      <c r="G12" t="s">
        <v>9294</v>
      </c>
      <c r="H12" s="2">
        <v>0</v>
      </c>
      <c r="I12" s="2">
        <v>0</v>
      </c>
      <c r="J12" s="2">
        <v>0</v>
      </c>
      <c r="K12" s="15">
        <v>30</v>
      </c>
      <c r="L12" s="2">
        <v>0</v>
      </c>
      <c r="M12" s="2">
        <v>0</v>
      </c>
      <c r="N12" s="2">
        <v>0</v>
      </c>
      <c r="O12" s="2">
        <v>3.9000000000000004</v>
      </c>
      <c r="P12" s="2">
        <v>33.9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8491</v>
      </c>
      <c r="B13" t="s">
        <v>9341</v>
      </c>
      <c r="C13" t="s">
        <v>7706</v>
      </c>
      <c r="D13" t="s">
        <v>0</v>
      </c>
      <c r="E13">
        <v>8030</v>
      </c>
      <c r="F13" t="s">
        <v>9293</v>
      </c>
      <c r="G13" t="s">
        <v>9294</v>
      </c>
      <c r="H13" s="2">
        <v>0</v>
      </c>
      <c r="I13" s="2">
        <v>0</v>
      </c>
      <c r="J13" s="2">
        <v>0</v>
      </c>
      <c r="K13" s="15">
        <v>15.93</v>
      </c>
      <c r="L13" s="2">
        <v>0</v>
      </c>
      <c r="M13" s="2">
        <v>0</v>
      </c>
      <c r="N13" s="2">
        <v>0</v>
      </c>
      <c r="O13" s="2">
        <v>2.0709</v>
      </c>
      <c r="P13" s="2">
        <v>18.000900000000001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8491</v>
      </c>
      <c r="B14" t="s">
        <v>9340</v>
      </c>
      <c r="C14" t="s">
        <v>7706</v>
      </c>
      <c r="D14" t="s">
        <v>0</v>
      </c>
      <c r="E14">
        <v>7815</v>
      </c>
      <c r="F14" t="s">
        <v>9293</v>
      </c>
      <c r="G14" t="s">
        <v>9294</v>
      </c>
      <c r="H14" s="2">
        <v>0</v>
      </c>
      <c r="I14" s="2">
        <v>0</v>
      </c>
      <c r="J14" s="2">
        <v>0</v>
      </c>
      <c r="K14" s="15">
        <v>11.59</v>
      </c>
      <c r="L14" s="2">
        <v>0</v>
      </c>
      <c r="M14" s="2">
        <v>0</v>
      </c>
      <c r="N14" s="2">
        <v>0</v>
      </c>
      <c r="O14" s="2">
        <v>1.5066999999999999</v>
      </c>
      <c r="P14" s="2">
        <v>13.0967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8491</v>
      </c>
      <c r="B15" t="s">
        <v>9304</v>
      </c>
      <c r="C15" t="s">
        <v>7706</v>
      </c>
      <c r="D15" t="s">
        <v>0</v>
      </c>
      <c r="E15">
        <v>18279</v>
      </c>
      <c r="F15" t="s">
        <v>3169</v>
      </c>
      <c r="G15" t="s">
        <v>3170</v>
      </c>
      <c r="H15" s="2">
        <v>0</v>
      </c>
      <c r="I15" s="2">
        <v>0</v>
      </c>
      <c r="J15" s="2">
        <v>0</v>
      </c>
      <c r="K15" s="15">
        <v>60</v>
      </c>
      <c r="L15" s="2">
        <v>0</v>
      </c>
      <c r="M15" s="2">
        <v>0</v>
      </c>
      <c r="N15" s="2">
        <v>0</v>
      </c>
      <c r="O15" s="2">
        <v>7.8000000000000007</v>
      </c>
      <c r="P15" s="2">
        <v>67.8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8491</v>
      </c>
      <c r="B16" t="s">
        <v>9314</v>
      </c>
      <c r="C16" t="s">
        <v>7706</v>
      </c>
      <c r="D16" t="s">
        <v>0</v>
      </c>
      <c r="E16">
        <v>18056</v>
      </c>
      <c r="F16" t="s">
        <v>3169</v>
      </c>
      <c r="G16" t="s">
        <v>3170</v>
      </c>
      <c r="H16" s="2">
        <v>0</v>
      </c>
      <c r="I16" s="2">
        <v>0</v>
      </c>
      <c r="J16" s="2">
        <v>0</v>
      </c>
      <c r="K16" s="15">
        <v>15</v>
      </c>
      <c r="L16" s="2">
        <v>0</v>
      </c>
      <c r="M16" s="2">
        <v>0</v>
      </c>
      <c r="N16" s="2">
        <v>0</v>
      </c>
      <c r="O16" s="2">
        <v>1.9500000000000002</v>
      </c>
      <c r="P16" s="2">
        <v>16.95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8491</v>
      </c>
      <c r="B17" t="s">
        <v>9311</v>
      </c>
      <c r="C17" t="s">
        <v>7706</v>
      </c>
      <c r="D17" t="s">
        <v>0</v>
      </c>
      <c r="E17">
        <v>18128</v>
      </c>
      <c r="F17" t="s">
        <v>3169</v>
      </c>
      <c r="G17" t="s">
        <v>3170</v>
      </c>
      <c r="H17" s="2">
        <v>0</v>
      </c>
      <c r="I17" s="2">
        <v>0</v>
      </c>
      <c r="J17" s="2">
        <v>0</v>
      </c>
      <c r="K17" s="15">
        <v>36</v>
      </c>
      <c r="L17" s="2">
        <v>0</v>
      </c>
      <c r="M17" s="2">
        <v>0</v>
      </c>
      <c r="N17" s="2">
        <v>0</v>
      </c>
      <c r="O17" s="2">
        <v>4.68</v>
      </c>
      <c r="P17" s="2">
        <v>40.68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8491</v>
      </c>
      <c r="B18" t="s">
        <v>9310</v>
      </c>
      <c r="C18" t="s">
        <v>7706</v>
      </c>
      <c r="D18" t="s">
        <v>0</v>
      </c>
      <c r="E18">
        <v>27780</v>
      </c>
      <c r="F18" t="s">
        <v>1674</v>
      </c>
      <c r="G18" t="s">
        <v>1675</v>
      </c>
      <c r="H18" s="2">
        <v>0</v>
      </c>
      <c r="I18" s="2">
        <v>0</v>
      </c>
      <c r="J18" s="2">
        <v>0</v>
      </c>
      <c r="K18" s="15">
        <v>8.42</v>
      </c>
      <c r="L18" s="2">
        <v>0</v>
      </c>
      <c r="M18" s="2">
        <v>0</v>
      </c>
      <c r="N18" s="2">
        <v>0</v>
      </c>
      <c r="O18" s="2">
        <v>1.0946</v>
      </c>
      <c r="P18" s="2">
        <v>9.5145999999999997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8491</v>
      </c>
      <c r="B19" t="s">
        <v>9310</v>
      </c>
      <c r="C19" t="s">
        <v>7706</v>
      </c>
      <c r="D19" t="s">
        <v>0</v>
      </c>
      <c r="E19">
        <v>27779</v>
      </c>
      <c r="F19" t="s">
        <v>1674</v>
      </c>
      <c r="G19" t="s">
        <v>1675</v>
      </c>
      <c r="H19" s="2">
        <v>0</v>
      </c>
      <c r="I19" s="2">
        <v>0</v>
      </c>
      <c r="J19" s="2">
        <v>0</v>
      </c>
      <c r="K19" s="15">
        <v>241.39</v>
      </c>
      <c r="L19" s="2">
        <v>0</v>
      </c>
      <c r="M19" s="2">
        <v>0</v>
      </c>
      <c r="N19" s="2">
        <v>0</v>
      </c>
      <c r="O19" s="2">
        <v>31.380700000000001</v>
      </c>
      <c r="P19" s="2">
        <v>272.77069999999998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8491</v>
      </c>
      <c r="B20" t="s">
        <v>9306</v>
      </c>
      <c r="C20" s="21" t="s">
        <v>9255</v>
      </c>
      <c r="D20" t="s">
        <v>0</v>
      </c>
      <c r="E20" t="s">
        <v>9323</v>
      </c>
      <c r="F20" t="s">
        <v>2876</v>
      </c>
      <c r="G20" s="42" t="s">
        <v>2877</v>
      </c>
      <c r="H20" s="128">
        <v>0</v>
      </c>
      <c r="I20" s="2">
        <v>0</v>
      </c>
      <c r="J20" s="2">
        <v>0</v>
      </c>
      <c r="K20" s="15">
        <v>39.340000000000003</v>
      </c>
      <c r="L20" s="2">
        <v>0</v>
      </c>
      <c r="M20" s="2">
        <v>0</v>
      </c>
      <c r="N20" s="2">
        <v>0</v>
      </c>
      <c r="O20" s="2">
        <v>5.1142000000000003</v>
      </c>
      <c r="P20" s="2">
        <v>44.4542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8491</v>
      </c>
      <c r="B21" t="s">
        <v>9316</v>
      </c>
      <c r="C21" s="21" t="s">
        <v>9255</v>
      </c>
      <c r="D21" t="s">
        <v>0</v>
      </c>
      <c r="E21" t="s">
        <v>9322</v>
      </c>
      <c r="F21" t="s">
        <v>2876</v>
      </c>
      <c r="G21" s="42" t="s">
        <v>2877</v>
      </c>
      <c r="H21" s="128">
        <v>0</v>
      </c>
      <c r="I21" s="2">
        <v>0</v>
      </c>
      <c r="J21" s="2">
        <v>0</v>
      </c>
      <c r="K21" s="15">
        <v>123.12</v>
      </c>
      <c r="L21" s="2">
        <v>0</v>
      </c>
      <c r="M21" s="2">
        <v>0</v>
      </c>
      <c r="N21" s="2">
        <v>0</v>
      </c>
      <c r="O21" s="2">
        <v>16.005600000000001</v>
      </c>
      <c r="P21" s="2">
        <v>139.12560000000002</v>
      </c>
      <c r="Q21" t="s">
        <v>7868</v>
      </c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8491</v>
      </c>
      <c r="B22" t="s">
        <v>9321</v>
      </c>
      <c r="C22" s="21" t="s">
        <v>9255</v>
      </c>
      <c r="D22" t="s">
        <v>0</v>
      </c>
      <c r="E22" t="s">
        <v>9320</v>
      </c>
      <c r="F22" t="s">
        <v>2876</v>
      </c>
      <c r="G22" s="42" t="s">
        <v>2877</v>
      </c>
      <c r="H22" s="128">
        <v>0</v>
      </c>
      <c r="I22" s="2">
        <v>0</v>
      </c>
      <c r="J22" s="2">
        <v>0</v>
      </c>
      <c r="K22" s="15">
        <v>59.48</v>
      </c>
      <c r="L22" s="2">
        <v>0</v>
      </c>
      <c r="M22" s="2">
        <v>0</v>
      </c>
      <c r="N22" s="2">
        <v>0</v>
      </c>
      <c r="O22" s="2">
        <v>7.7324000000000002</v>
      </c>
      <c r="P22" s="2">
        <v>67.212400000000002</v>
      </c>
      <c r="Q22" t="s">
        <v>7868</v>
      </c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8491</v>
      </c>
      <c r="B23" t="s">
        <v>9308</v>
      </c>
      <c r="C23" s="21" t="s">
        <v>9255</v>
      </c>
      <c r="D23" t="s">
        <v>0</v>
      </c>
      <c r="E23" t="s">
        <v>9319</v>
      </c>
      <c r="F23" t="s">
        <v>2876</v>
      </c>
      <c r="G23" s="42" t="s">
        <v>2877</v>
      </c>
      <c r="H23" s="128">
        <v>0</v>
      </c>
      <c r="I23" s="2">
        <v>0</v>
      </c>
      <c r="J23" s="2">
        <v>0</v>
      </c>
      <c r="K23" s="15">
        <v>62.68</v>
      </c>
      <c r="L23" s="2">
        <v>0</v>
      </c>
      <c r="M23" s="2">
        <v>0</v>
      </c>
      <c r="N23" s="2">
        <v>0</v>
      </c>
      <c r="O23" s="2">
        <v>8.1484000000000005</v>
      </c>
      <c r="P23" s="2">
        <v>70.828400000000002</v>
      </c>
      <c r="Q23" t="s">
        <v>7868</v>
      </c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8491</v>
      </c>
      <c r="B24" s="151" t="s">
        <v>9318</v>
      </c>
      <c r="C24" s="21" t="s">
        <v>9255</v>
      </c>
      <c r="D24" t="s">
        <v>0</v>
      </c>
      <c r="E24" t="s">
        <v>9317</v>
      </c>
      <c r="F24" t="s">
        <v>2876</v>
      </c>
      <c r="G24" s="42" t="s">
        <v>2877</v>
      </c>
      <c r="H24" s="128">
        <v>0</v>
      </c>
      <c r="I24" s="2">
        <v>0</v>
      </c>
      <c r="J24" s="2">
        <v>0</v>
      </c>
      <c r="K24" s="15">
        <v>47.65</v>
      </c>
      <c r="L24" s="2">
        <v>0</v>
      </c>
      <c r="M24" s="2">
        <v>0</v>
      </c>
      <c r="N24" s="2">
        <v>0</v>
      </c>
      <c r="O24" s="2">
        <v>6.1944999999999997</v>
      </c>
      <c r="P24" s="2">
        <v>53.844499999999996</v>
      </c>
      <c r="Q24" t="s">
        <v>7868</v>
      </c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8491</v>
      </c>
      <c r="B25" t="s">
        <v>9316</v>
      </c>
      <c r="C25" t="s">
        <v>7706</v>
      </c>
      <c r="D25" t="s">
        <v>0</v>
      </c>
      <c r="E25">
        <v>70881</v>
      </c>
      <c r="F25" t="s">
        <v>1455</v>
      </c>
      <c r="G25" s="182" t="s">
        <v>1456</v>
      </c>
      <c r="H25" s="183">
        <v>11.75</v>
      </c>
      <c r="I25" s="2">
        <v>0</v>
      </c>
      <c r="J25" s="2">
        <v>0</v>
      </c>
      <c r="K25" s="15">
        <v>117.5</v>
      </c>
      <c r="L25" s="2">
        <v>0</v>
      </c>
      <c r="M25" s="2">
        <v>0</v>
      </c>
      <c r="N25" s="2">
        <v>0</v>
      </c>
      <c r="O25" s="2">
        <v>15.275</v>
      </c>
      <c r="P25" s="2">
        <v>144.52500000000001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8491</v>
      </c>
      <c r="B26" t="s">
        <v>9315</v>
      </c>
      <c r="C26" t="s">
        <v>7706</v>
      </c>
      <c r="D26" t="s">
        <v>0</v>
      </c>
      <c r="E26">
        <v>71303</v>
      </c>
      <c r="F26" t="s">
        <v>1455</v>
      </c>
      <c r="G26" s="182" t="s">
        <v>1456</v>
      </c>
      <c r="H26" s="183">
        <v>1.22</v>
      </c>
      <c r="I26" s="2">
        <v>0</v>
      </c>
      <c r="J26" s="2">
        <v>0</v>
      </c>
      <c r="K26" s="15">
        <v>12.2</v>
      </c>
      <c r="L26" s="2">
        <v>0</v>
      </c>
      <c r="M26" s="2">
        <v>0</v>
      </c>
      <c r="N26" s="2">
        <v>0</v>
      </c>
      <c r="O26" s="2">
        <v>1.5859999999999999</v>
      </c>
      <c r="P26" s="2">
        <v>15.006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8491</v>
      </c>
      <c r="B27" t="s">
        <v>9314</v>
      </c>
      <c r="C27" t="s">
        <v>7706</v>
      </c>
      <c r="D27" t="s">
        <v>0</v>
      </c>
      <c r="E27">
        <v>71494</v>
      </c>
      <c r="F27" t="s">
        <v>1455</v>
      </c>
      <c r="G27" s="182" t="s">
        <v>1456</v>
      </c>
      <c r="H27" s="183">
        <v>10.8</v>
      </c>
      <c r="I27" s="2">
        <v>0</v>
      </c>
      <c r="J27" s="2">
        <v>0</v>
      </c>
      <c r="K27" s="15">
        <v>108.07</v>
      </c>
      <c r="L27" s="2">
        <v>0</v>
      </c>
      <c r="M27" s="2">
        <v>0</v>
      </c>
      <c r="N27" s="2">
        <v>0</v>
      </c>
      <c r="O27" s="2">
        <v>14.049099999999999</v>
      </c>
      <c r="P27" s="2">
        <v>132.91909999999999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8491</v>
      </c>
      <c r="B28" t="s">
        <v>9313</v>
      </c>
      <c r="C28" t="s">
        <v>7706</v>
      </c>
      <c r="D28" t="s">
        <v>0</v>
      </c>
      <c r="E28">
        <v>72076</v>
      </c>
      <c r="F28" t="s">
        <v>1455</v>
      </c>
      <c r="G28" s="182" t="s">
        <v>1456</v>
      </c>
      <c r="H28" s="183">
        <v>8.0428999999999995</v>
      </c>
      <c r="I28" s="2">
        <v>0</v>
      </c>
      <c r="J28" s="2">
        <v>0</v>
      </c>
      <c r="K28" s="15">
        <v>81.38</v>
      </c>
      <c r="L28" s="2">
        <v>0</v>
      </c>
      <c r="M28" s="2">
        <v>0</v>
      </c>
      <c r="N28" s="2">
        <v>0</v>
      </c>
      <c r="O28" s="2">
        <v>10.5794</v>
      </c>
      <c r="P28" s="2">
        <v>100.00229999999999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8491</v>
      </c>
      <c r="B29" t="s">
        <v>9312</v>
      </c>
      <c r="C29" t="s">
        <v>7706</v>
      </c>
      <c r="D29" t="s">
        <v>0</v>
      </c>
      <c r="E29">
        <v>72397</v>
      </c>
      <c r="F29" t="s">
        <v>1455</v>
      </c>
      <c r="G29" s="182" t="s">
        <v>1456</v>
      </c>
      <c r="H29" s="183">
        <v>1.1299999999999999</v>
      </c>
      <c r="I29" s="2">
        <v>0</v>
      </c>
      <c r="J29" s="2">
        <v>0</v>
      </c>
      <c r="K29" s="15">
        <v>11.39</v>
      </c>
      <c r="L29" s="2">
        <v>0</v>
      </c>
      <c r="M29" s="2">
        <v>0</v>
      </c>
      <c r="N29" s="2">
        <v>0</v>
      </c>
      <c r="O29" s="2">
        <v>1.4807000000000001</v>
      </c>
      <c r="P29" s="2">
        <v>14.0007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8491</v>
      </c>
      <c r="B30" t="s">
        <v>9311</v>
      </c>
      <c r="C30" t="s">
        <v>7706</v>
      </c>
      <c r="D30" t="s">
        <v>0</v>
      </c>
      <c r="E30">
        <v>72514</v>
      </c>
      <c r="F30" t="s">
        <v>1455</v>
      </c>
      <c r="G30" s="182" t="s">
        <v>1456</v>
      </c>
      <c r="H30" s="183">
        <v>11.58</v>
      </c>
      <c r="I30" s="2">
        <v>0</v>
      </c>
      <c r="J30" s="2">
        <v>0</v>
      </c>
      <c r="K30" s="15">
        <v>117.18</v>
      </c>
      <c r="L30" s="2">
        <v>0</v>
      </c>
      <c r="M30" s="2">
        <v>0</v>
      </c>
      <c r="N30" s="2">
        <v>0</v>
      </c>
      <c r="O30" s="2">
        <v>15.233400000000001</v>
      </c>
      <c r="P30" s="2">
        <v>143.99340000000001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8491</v>
      </c>
      <c r="B31" t="s">
        <v>9310</v>
      </c>
      <c r="C31" t="s">
        <v>7706</v>
      </c>
      <c r="D31" t="s">
        <v>0</v>
      </c>
      <c r="E31">
        <v>73312</v>
      </c>
      <c r="F31" t="s">
        <v>1455</v>
      </c>
      <c r="G31" s="182" t="s">
        <v>1456</v>
      </c>
      <c r="H31" s="183">
        <v>9.25</v>
      </c>
      <c r="I31" s="2">
        <v>0</v>
      </c>
      <c r="J31" s="2">
        <v>0</v>
      </c>
      <c r="K31" s="15">
        <v>93.71</v>
      </c>
      <c r="L31" s="2">
        <v>0</v>
      </c>
      <c r="M31" s="2">
        <v>0</v>
      </c>
      <c r="N31" s="2">
        <v>0</v>
      </c>
      <c r="O31" s="2">
        <v>12.1823</v>
      </c>
      <c r="P31" s="2">
        <v>115.14229999999999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8491</v>
      </c>
      <c r="B32" t="s">
        <v>9303</v>
      </c>
      <c r="C32" t="s">
        <v>7706</v>
      </c>
      <c r="D32" t="s">
        <v>0</v>
      </c>
      <c r="E32">
        <v>73593</v>
      </c>
      <c r="F32" t="s">
        <v>1455</v>
      </c>
      <c r="G32" s="182" t="s">
        <v>1456</v>
      </c>
      <c r="H32" s="183">
        <v>1.2000000000000002</v>
      </c>
      <c r="I32" s="2">
        <v>0</v>
      </c>
      <c r="J32" s="2">
        <v>0</v>
      </c>
      <c r="K32" s="15">
        <v>12.21</v>
      </c>
      <c r="L32" s="2">
        <v>0</v>
      </c>
      <c r="M32" s="2">
        <v>0</v>
      </c>
      <c r="N32" s="2">
        <v>0</v>
      </c>
      <c r="O32" s="2">
        <v>1.5873000000000002</v>
      </c>
      <c r="P32" s="2">
        <v>14.997300000000001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8491</v>
      </c>
      <c r="B33" t="s">
        <v>9309</v>
      </c>
      <c r="C33" t="s">
        <v>7706</v>
      </c>
      <c r="D33" t="s">
        <v>0</v>
      </c>
      <c r="E33">
        <v>74008</v>
      </c>
      <c r="F33" t="s">
        <v>1455</v>
      </c>
      <c r="G33" s="182" t="s">
        <v>1456</v>
      </c>
      <c r="H33" s="183">
        <v>1.0499999999999998</v>
      </c>
      <c r="I33" s="2">
        <v>0</v>
      </c>
      <c r="J33" s="2">
        <v>0</v>
      </c>
      <c r="K33" s="15">
        <v>10.58</v>
      </c>
      <c r="L33" s="2">
        <v>0</v>
      </c>
      <c r="M33" s="2">
        <v>0</v>
      </c>
      <c r="N33" s="2">
        <v>0</v>
      </c>
      <c r="O33" s="2">
        <v>1.3754</v>
      </c>
      <c r="P33" s="2">
        <v>13.005399999999998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8491</v>
      </c>
      <c r="B34" t="s">
        <v>9309</v>
      </c>
      <c r="C34" t="s">
        <v>7706</v>
      </c>
      <c r="D34" t="s">
        <v>0</v>
      </c>
      <c r="E34">
        <v>73994</v>
      </c>
      <c r="F34" t="s">
        <v>1455</v>
      </c>
      <c r="G34" s="182" t="s">
        <v>1456</v>
      </c>
      <c r="H34" s="183">
        <v>9.66</v>
      </c>
      <c r="I34" s="2">
        <v>0</v>
      </c>
      <c r="J34" s="2">
        <v>0</v>
      </c>
      <c r="K34" s="15">
        <v>97.65</v>
      </c>
      <c r="L34" s="2">
        <v>0</v>
      </c>
      <c r="M34" s="2">
        <v>0</v>
      </c>
      <c r="N34" s="2">
        <v>0</v>
      </c>
      <c r="O34" s="2">
        <v>12.694500000000001</v>
      </c>
      <c r="P34" s="2">
        <v>120.00450000000001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8491</v>
      </c>
      <c r="B35" t="s">
        <v>9308</v>
      </c>
      <c r="C35" t="s">
        <v>7706</v>
      </c>
      <c r="D35" t="s">
        <v>0</v>
      </c>
      <c r="E35">
        <v>75524</v>
      </c>
      <c r="F35" t="s">
        <v>1455</v>
      </c>
      <c r="G35" s="182" t="s">
        <v>1456</v>
      </c>
      <c r="H35" s="183">
        <v>1.21</v>
      </c>
      <c r="I35" s="2">
        <v>0</v>
      </c>
      <c r="J35" s="2">
        <v>0</v>
      </c>
      <c r="K35" s="15">
        <v>12.2</v>
      </c>
      <c r="L35" s="2">
        <v>0</v>
      </c>
      <c r="M35" s="2">
        <v>0</v>
      </c>
      <c r="N35" s="2">
        <v>0</v>
      </c>
      <c r="O35" s="2">
        <v>1.5859999999999999</v>
      </c>
      <c r="P35" s="2">
        <v>14.996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8491</v>
      </c>
      <c r="B36" t="s">
        <v>9307</v>
      </c>
      <c r="C36" t="s">
        <v>7706</v>
      </c>
      <c r="D36" t="s">
        <v>0</v>
      </c>
      <c r="E36">
        <v>74785</v>
      </c>
      <c r="F36" t="s">
        <v>1455</v>
      </c>
      <c r="G36" s="182" t="s">
        <v>1456</v>
      </c>
      <c r="H36" s="183">
        <v>10.55</v>
      </c>
      <c r="I36" s="2">
        <v>0</v>
      </c>
      <c r="J36" s="2">
        <v>0</v>
      </c>
      <c r="K36" s="15">
        <v>115.74</v>
      </c>
      <c r="L36" s="2">
        <v>0</v>
      </c>
      <c r="M36" s="2">
        <v>0</v>
      </c>
      <c r="N36" s="2">
        <v>0</v>
      </c>
      <c r="O36" s="2">
        <v>15.046200000000001</v>
      </c>
      <c r="P36" s="2">
        <v>141.33619999999999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8491</v>
      </c>
      <c r="B37" t="s">
        <v>9306</v>
      </c>
      <c r="C37" t="s">
        <v>7706</v>
      </c>
      <c r="D37" t="s">
        <v>0</v>
      </c>
      <c r="E37">
        <v>75166</v>
      </c>
      <c r="F37" t="s">
        <v>1455</v>
      </c>
      <c r="G37" s="182" t="s">
        <v>1456</v>
      </c>
      <c r="H37" s="183">
        <v>1.44</v>
      </c>
      <c r="I37" s="2">
        <v>0</v>
      </c>
      <c r="J37" s="2">
        <v>0</v>
      </c>
      <c r="K37" s="15">
        <v>15.76</v>
      </c>
      <c r="L37" s="2">
        <v>0</v>
      </c>
      <c r="M37" s="2">
        <v>0</v>
      </c>
      <c r="N37" s="2">
        <v>0</v>
      </c>
      <c r="O37" s="2">
        <v>2.0488</v>
      </c>
      <c r="P37" s="2">
        <v>19.248799999999999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8491</v>
      </c>
      <c r="B38" t="s">
        <v>9305</v>
      </c>
      <c r="C38" t="s">
        <v>7706</v>
      </c>
      <c r="D38" t="s">
        <v>0</v>
      </c>
      <c r="E38">
        <v>75385</v>
      </c>
      <c r="F38" t="s">
        <v>1455</v>
      </c>
      <c r="G38" s="182" t="s">
        <v>1456</v>
      </c>
      <c r="H38" s="183">
        <v>10.26</v>
      </c>
      <c r="I38" s="2">
        <v>0</v>
      </c>
      <c r="J38" s="2">
        <v>0</v>
      </c>
      <c r="K38" s="15">
        <v>112.66</v>
      </c>
      <c r="L38" s="2">
        <v>0</v>
      </c>
      <c r="M38" s="2">
        <v>0</v>
      </c>
      <c r="N38" s="2">
        <v>0</v>
      </c>
      <c r="O38" s="2">
        <v>14.645799999999999</v>
      </c>
      <c r="P38" s="2">
        <v>137.5658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8491</v>
      </c>
      <c r="B39" t="s">
        <v>9304</v>
      </c>
      <c r="C39" t="s">
        <v>7706</v>
      </c>
      <c r="D39" t="s">
        <v>0</v>
      </c>
      <c r="E39">
        <v>76287</v>
      </c>
      <c r="F39" t="s">
        <v>1455</v>
      </c>
      <c r="G39" s="182" t="s">
        <v>1456</v>
      </c>
      <c r="H39" s="183">
        <v>3.93</v>
      </c>
      <c r="I39" s="2">
        <v>0</v>
      </c>
      <c r="J39" s="2">
        <v>0</v>
      </c>
      <c r="K39" s="15">
        <v>40.76</v>
      </c>
      <c r="L39" s="2">
        <v>0</v>
      </c>
      <c r="M39" s="2">
        <v>0</v>
      </c>
      <c r="N39" s="2">
        <v>0</v>
      </c>
      <c r="O39" s="2">
        <v>5.2988</v>
      </c>
      <c r="P39" s="2">
        <v>49.988799999999998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8491</v>
      </c>
      <c r="B40" t="s">
        <v>9304</v>
      </c>
      <c r="C40" t="s">
        <v>7706</v>
      </c>
      <c r="D40" t="s">
        <v>0</v>
      </c>
      <c r="E40">
        <v>76192</v>
      </c>
      <c r="F40" t="s">
        <v>1455</v>
      </c>
      <c r="G40" s="182" t="s">
        <v>1456</v>
      </c>
      <c r="H40" s="183">
        <v>7.87</v>
      </c>
      <c r="I40" s="2">
        <v>0</v>
      </c>
      <c r="J40" s="2">
        <v>0</v>
      </c>
      <c r="K40" s="15">
        <v>81.53</v>
      </c>
      <c r="L40" s="2">
        <v>0</v>
      </c>
      <c r="M40" s="2">
        <v>0</v>
      </c>
      <c r="N40" s="2">
        <v>0</v>
      </c>
      <c r="O40" s="2">
        <v>10.5989</v>
      </c>
      <c r="P40" s="2">
        <v>99.998900000000006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9017</v>
      </c>
      <c r="B41" t="s">
        <v>9274</v>
      </c>
      <c r="C41" t="s">
        <v>7706</v>
      </c>
      <c r="D41" t="s">
        <v>0</v>
      </c>
      <c r="E41">
        <v>6970</v>
      </c>
      <c r="F41" t="s">
        <v>9293</v>
      </c>
      <c r="G41" s="134" t="s">
        <v>9294</v>
      </c>
      <c r="H41" s="136">
        <v>0</v>
      </c>
      <c r="I41" s="2">
        <v>0</v>
      </c>
      <c r="J41" s="2">
        <v>0</v>
      </c>
      <c r="K41" s="15">
        <v>26.81</v>
      </c>
      <c r="L41" s="2">
        <v>0</v>
      </c>
      <c r="M41" s="2">
        <v>0</v>
      </c>
      <c r="N41" s="2">
        <v>0</v>
      </c>
      <c r="O41" s="2">
        <v>3.4853000000000001</v>
      </c>
      <c r="P41" s="2">
        <v>30.295299999999997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9017</v>
      </c>
      <c r="B42" t="s">
        <v>9274</v>
      </c>
      <c r="C42" t="s">
        <v>7706</v>
      </c>
      <c r="D42" t="s">
        <v>0</v>
      </c>
      <c r="E42">
        <v>7429</v>
      </c>
      <c r="F42" t="s">
        <v>9204</v>
      </c>
      <c r="G42" s="134" t="s">
        <v>9243</v>
      </c>
      <c r="H42" s="136">
        <v>0</v>
      </c>
      <c r="I42" s="2">
        <v>0</v>
      </c>
      <c r="J42" s="2">
        <v>0</v>
      </c>
      <c r="K42" s="15">
        <v>79.84</v>
      </c>
      <c r="L42" s="2">
        <v>0</v>
      </c>
      <c r="M42" s="2">
        <v>0</v>
      </c>
      <c r="N42" s="2">
        <v>0</v>
      </c>
      <c r="O42" s="2">
        <v>10.379200000000001</v>
      </c>
      <c r="P42" s="2">
        <v>90.219200000000001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9017</v>
      </c>
      <c r="B43" t="s">
        <v>9278</v>
      </c>
      <c r="C43" t="s">
        <v>7706</v>
      </c>
      <c r="D43" t="s">
        <v>0</v>
      </c>
      <c r="E43">
        <v>215</v>
      </c>
      <c r="F43" t="s">
        <v>9221</v>
      </c>
      <c r="G43" s="125" t="s">
        <v>9222</v>
      </c>
      <c r="H43" s="136">
        <v>0</v>
      </c>
      <c r="I43" s="2">
        <v>0</v>
      </c>
      <c r="J43" s="2">
        <v>0</v>
      </c>
      <c r="K43" s="15">
        <v>7.08</v>
      </c>
      <c r="L43" s="2">
        <v>0</v>
      </c>
      <c r="M43" s="2">
        <v>0</v>
      </c>
      <c r="N43" s="2">
        <v>0</v>
      </c>
      <c r="O43" s="2">
        <v>0.9204</v>
      </c>
      <c r="P43" s="2">
        <v>8.0004000000000008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9017</v>
      </c>
      <c r="B44" t="s">
        <v>9272</v>
      </c>
      <c r="C44" t="s">
        <v>7706</v>
      </c>
      <c r="D44" t="s">
        <v>0</v>
      </c>
      <c r="E44">
        <v>15373</v>
      </c>
      <c r="F44" t="s">
        <v>3169</v>
      </c>
      <c r="G44" s="134" t="s">
        <v>3170</v>
      </c>
      <c r="H44" s="136">
        <v>0</v>
      </c>
      <c r="I44" s="2">
        <v>0</v>
      </c>
      <c r="J44" s="2">
        <v>0</v>
      </c>
      <c r="K44" s="15">
        <v>80</v>
      </c>
      <c r="L44" s="2">
        <v>0</v>
      </c>
      <c r="M44" s="2">
        <v>0</v>
      </c>
      <c r="N44" s="2">
        <v>0</v>
      </c>
      <c r="O44" s="2">
        <v>10.4</v>
      </c>
      <c r="P44" s="2">
        <v>90.4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9017</v>
      </c>
      <c r="B45" t="s">
        <v>9280</v>
      </c>
      <c r="C45" t="s">
        <v>7706</v>
      </c>
      <c r="D45" t="s">
        <v>0</v>
      </c>
      <c r="E45">
        <v>400456</v>
      </c>
      <c r="F45" t="s">
        <v>1529</v>
      </c>
      <c r="G45" s="125" t="s">
        <v>1530</v>
      </c>
      <c r="H45" s="136">
        <v>0</v>
      </c>
      <c r="I45" s="2">
        <v>0</v>
      </c>
      <c r="J45" s="2">
        <v>0</v>
      </c>
      <c r="K45" s="15">
        <v>45.34</v>
      </c>
      <c r="L45" s="2">
        <v>0</v>
      </c>
      <c r="M45" s="2">
        <v>0</v>
      </c>
      <c r="N45" s="2">
        <v>0</v>
      </c>
      <c r="O45" s="2">
        <v>5.8942000000000005</v>
      </c>
      <c r="P45" s="2">
        <v>51.234200000000001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9017</v>
      </c>
      <c r="B46" t="s">
        <v>9279</v>
      </c>
      <c r="C46" t="s">
        <v>7706</v>
      </c>
      <c r="D46" t="s">
        <v>0</v>
      </c>
      <c r="E46">
        <v>1150097</v>
      </c>
      <c r="F46" t="s">
        <v>5246</v>
      </c>
      <c r="G46" s="134" t="s">
        <v>5247</v>
      </c>
      <c r="H46" s="136">
        <v>0</v>
      </c>
      <c r="I46" s="2">
        <v>0</v>
      </c>
      <c r="J46" s="2">
        <v>0</v>
      </c>
      <c r="K46" s="15">
        <v>15.43</v>
      </c>
      <c r="L46" s="2">
        <v>0</v>
      </c>
      <c r="M46" s="2">
        <v>0</v>
      </c>
      <c r="N46" s="2">
        <v>0</v>
      </c>
      <c r="O46" s="2">
        <v>2.0059</v>
      </c>
      <c r="P46" s="2">
        <v>17.4359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9017</v>
      </c>
      <c r="B47" t="s">
        <v>9290</v>
      </c>
      <c r="C47" t="s">
        <v>7706</v>
      </c>
      <c r="D47" t="s">
        <v>0</v>
      </c>
      <c r="E47">
        <v>40</v>
      </c>
      <c r="F47" t="s">
        <v>9291</v>
      </c>
      <c r="G47" s="134" t="s">
        <v>9292</v>
      </c>
      <c r="H47" s="136">
        <v>0</v>
      </c>
      <c r="I47" s="2">
        <v>0</v>
      </c>
      <c r="J47" s="2">
        <v>0</v>
      </c>
      <c r="K47" s="15">
        <v>60</v>
      </c>
      <c r="L47" s="2">
        <v>0</v>
      </c>
      <c r="M47" s="2">
        <v>0</v>
      </c>
      <c r="N47" s="2">
        <v>0</v>
      </c>
      <c r="O47" s="2">
        <v>7.8000000000000007</v>
      </c>
      <c r="P47" s="2">
        <v>67.8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9017</v>
      </c>
      <c r="B48" t="s">
        <v>9265</v>
      </c>
      <c r="C48" s="21" t="s">
        <v>9255</v>
      </c>
      <c r="D48" t="s">
        <v>0</v>
      </c>
      <c r="E48" t="s">
        <v>9289</v>
      </c>
      <c r="F48" t="s">
        <v>1338</v>
      </c>
      <c r="G48" s="134" t="s">
        <v>1339</v>
      </c>
      <c r="H48" s="136">
        <v>0</v>
      </c>
      <c r="I48" s="2">
        <v>0</v>
      </c>
      <c r="J48" s="2">
        <v>0</v>
      </c>
      <c r="K48" s="15">
        <v>10.17</v>
      </c>
      <c r="L48" s="2">
        <v>0</v>
      </c>
      <c r="M48" s="2">
        <v>0</v>
      </c>
      <c r="N48" s="2">
        <v>0</v>
      </c>
      <c r="O48" s="2">
        <v>1.3221000000000001</v>
      </c>
      <c r="P48" s="2">
        <v>11.492100000000001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9017</v>
      </c>
      <c r="B49" t="s">
        <v>9270</v>
      </c>
      <c r="C49" t="s">
        <v>7706</v>
      </c>
      <c r="D49" t="s">
        <v>0</v>
      </c>
      <c r="E49">
        <v>378</v>
      </c>
      <c r="F49" t="s">
        <v>9207</v>
      </c>
      <c r="G49" s="134" t="s">
        <v>9230</v>
      </c>
      <c r="H49" s="136">
        <v>0</v>
      </c>
      <c r="I49" s="2">
        <v>0</v>
      </c>
      <c r="J49" s="2">
        <v>0</v>
      </c>
      <c r="K49" s="15">
        <v>10.18</v>
      </c>
      <c r="L49" s="2">
        <v>0</v>
      </c>
      <c r="M49" s="2">
        <v>0</v>
      </c>
      <c r="N49" s="2">
        <v>0</v>
      </c>
      <c r="O49" s="2">
        <v>1.3233999999999999</v>
      </c>
      <c r="P49" s="2">
        <v>11.503399999999999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9017</v>
      </c>
      <c r="B50" t="s">
        <v>9288</v>
      </c>
      <c r="C50" t="s">
        <v>7706</v>
      </c>
      <c r="D50" t="s">
        <v>0</v>
      </c>
      <c r="E50">
        <v>64330</v>
      </c>
      <c r="F50" t="s">
        <v>1529</v>
      </c>
      <c r="G50" s="135" t="s">
        <v>1530</v>
      </c>
      <c r="H50" s="136">
        <v>0</v>
      </c>
      <c r="I50" s="2">
        <v>0</v>
      </c>
      <c r="J50" s="2">
        <v>0</v>
      </c>
      <c r="K50" s="15">
        <v>8.9600000000000009</v>
      </c>
      <c r="L50" s="2">
        <v>0</v>
      </c>
      <c r="M50" s="2">
        <v>0</v>
      </c>
      <c r="N50" s="2">
        <v>0</v>
      </c>
      <c r="O50" s="2">
        <v>1.1648000000000001</v>
      </c>
      <c r="P50" s="2">
        <v>10.1248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9017</v>
      </c>
      <c r="B51" t="s">
        <v>9288</v>
      </c>
      <c r="C51" t="s">
        <v>7706</v>
      </c>
      <c r="D51" t="s">
        <v>0</v>
      </c>
      <c r="E51">
        <v>2453</v>
      </c>
      <c r="F51" t="s">
        <v>9238</v>
      </c>
      <c r="G51" s="135" t="s">
        <v>9239</v>
      </c>
      <c r="H51" s="136">
        <v>0</v>
      </c>
      <c r="I51" s="2">
        <v>0</v>
      </c>
      <c r="J51" s="2">
        <v>0</v>
      </c>
      <c r="K51" s="15">
        <v>9.7200000000000006</v>
      </c>
      <c r="L51" s="2">
        <v>0</v>
      </c>
      <c r="M51" s="2">
        <v>0</v>
      </c>
      <c r="N51" s="2">
        <v>0</v>
      </c>
      <c r="O51" s="2">
        <v>1.2636000000000001</v>
      </c>
      <c r="P51" s="2">
        <v>10.983600000000001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9017</v>
      </c>
      <c r="B52" t="s">
        <v>9265</v>
      </c>
      <c r="C52" t="s">
        <v>7706</v>
      </c>
      <c r="D52" t="s">
        <v>0</v>
      </c>
      <c r="E52">
        <v>860608</v>
      </c>
      <c r="F52" t="s">
        <v>1326</v>
      </c>
      <c r="G52" s="135" t="s">
        <v>1327</v>
      </c>
      <c r="H52" s="136">
        <v>0</v>
      </c>
      <c r="I52" s="2">
        <v>0</v>
      </c>
      <c r="J52" s="2">
        <v>0</v>
      </c>
      <c r="K52" s="15">
        <v>21.63</v>
      </c>
      <c r="L52" s="2">
        <v>0</v>
      </c>
      <c r="M52" s="2">
        <v>0</v>
      </c>
      <c r="N52" s="2">
        <v>0</v>
      </c>
      <c r="O52" s="2">
        <v>2.8119000000000001</v>
      </c>
      <c r="P52" s="2">
        <v>24.4419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9017</v>
      </c>
      <c r="B53" t="s">
        <v>9262</v>
      </c>
      <c r="C53" t="s">
        <v>7706</v>
      </c>
      <c r="D53" t="s">
        <v>0</v>
      </c>
      <c r="E53">
        <v>1695</v>
      </c>
      <c r="F53" t="s">
        <v>9287</v>
      </c>
      <c r="G53" s="134" t="s">
        <v>1314</v>
      </c>
      <c r="H53" s="136">
        <v>0</v>
      </c>
      <c r="I53" s="2">
        <v>0</v>
      </c>
      <c r="J53" s="2">
        <v>0</v>
      </c>
      <c r="K53" s="15">
        <v>8.85</v>
      </c>
      <c r="L53" s="2">
        <v>0</v>
      </c>
      <c r="M53" s="2">
        <v>0</v>
      </c>
      <c r="N53" s="2">
        <v>0</v>
      </c>
      <c r="O53" s="2">
        <v>1.1505000000000001</v>
      </c>
      <c r="P53" s="2">
        <v>10.000499999999999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9017</v>
      </c>
      <c r="B54" t="s">
        <v>9266</v>
      </c>
      <c r="C54" t="s">
        <v>7706</v>
      </c>
      <c r="D54" t="s">
        <v>0</v>
      </c>
      <c r="E54">
        <v>342</v>
      </c>
      <c r="F54" t="s">
        <v>9209</v>
      </c>
      <c r="G54" s="134" t="s">
        <v>9237</v>
      </c>
      <c r="H54" s="136">
        <v>0</v>
      </c>
      <c r="I54" s="2">
        <v>0</v>
      </c>
      <c r="J54" s="2">
        <v>0</v>
      </c>
      <c r="K54" s="15">
        <v>101</v>
      </c>
      <c r="L54" s="2">
        <v>0</v>
      </c>
      <c r="M54" s="2">
        <v>0</v>
      </c>
      <c r="N54" s="2">
        <v>0</v>
      </c>
      <c r="O54" s="2">
        <v>13.13</v>
      </c>
      <c r="P54" s="2">
        <v>114.13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9017</v>
      </c>
      <c r="B55" t="s">
        <v>9280</v>
      </c>
      <c r="C55" t="s">
        <v>7706</v>
      </c>
      <c r="D55" t="s">
        <v>0</v>
      </c>
      <c r="E55">
        <v>61</v>
      </c>
      <c r="F55" t="s">
        <v>1334</v>
      </c>
      <c r="G55" s="127" t="s">
        <v>1335</v>
      </c>
      <c r="H55" s="136">
        <v>0</v>
      </c>
      <c r="I55" s="2">
        <v>0</v>
      </c>
      <c r="J55" s="2">
        <v>0</v>
      </c>
      <c r="K55" s="15">
        <v>200</v>
      </c>
      <c r="L55" s="2">
        <v>0</v>
      </c>
      <c r="M55" s="2">
        <v>0</v>
      </c>
      <c r="N55" s="2">
        <v>0</v>
      </c>
      <c r="O55" s="2">
        <v>26</v>
      </c>
      <c r="P55" s="2">
        <v>226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x14ac:dyDescent="0.25">
      <c r="A56" t="s">
        <v>9017</v>
      </c>
      <c r="B56" t="s">
        <v>9284</v>
      </c>
      <c r="C56" t="s">
        <v>7706</v>
      </c>
      <c r="D56" t="s">
        <v>0</v>
      </c>
      <c r="E56">
        <v>26</v>
      </c>
      <c r="F56" t="s">
        <v>9285</v>
      </c>
      <c r="G56" s="134" t="s">
        <v>9286</v>
      </c>
      <c r="H56" s="136">
        <v>0</v>
      </c>
      <c r="I56" s="2">
        <v>0</v>
      </c>
      <c r="J56" s="2">
        <v>0</v>
      </c>
      <c r="K56" s="15">
        <v>53.1</v>
      </c>
      <c r="L56" s="2">
        <v>0</v>
      </c>
      <c r="M56" s="2">
        <v>0</v>
      </c>
      <c r="N56" s="2">
        <v>0</v>
      </c>
      <c r="O56" s="2">
        <v>6.9030000000000005</v>
      </c>
      <c r="P56" s="2">
        <v>60.003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x14ac:dyDescent="0.25">
      <c r="A57" t="s">
        <v>9017</v>
      </c>
      <c r="B57" t="s">
        <v>9283</v>
      </c>
      <c r="C57" t="s">
        <v>7706</v>
      </c>
      <c r="D57" t="s">
        <v>0</v>
      </c>
      <c r="E57">
        <v>688637</v>
      </c>
      <c r="F57" t="s">
        <v>1455</v>
      </c>
      <c r="G57" s="182" t="s">
        <v>1456</v>
      </c>
      <c r="H57" s="2">
        <v>2.52</v>
      </c>
      <c r="I57" s="2">
        <v>0</v>
      </c>
      <c r="J57" s="2">
        <v>0</v>
      </c>
      <c r="K57" s="15">
        <v>26.09</v>
      </c>
      <c r="L57" s="2">
        <v>0</v>
      </c>
      <c r="M57" s="2">
        <v>0</v>
      </c>
      <c r="N57" s="2">
        <v>0</v>
      </c>
      <c r="O57" s="2">
        <v>3.3917000000000002</v>
      </c>
      <c r="P57" s="2">
        <v>32.0017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x14ac:dyDescent="0.25">
      <c r="A58" t="s">
        <v>9017</v>
      </c>
      <c r="B58" t="s">
        <v>9283</v>
      </c>
      <c r="C58" t="s">
        <v>7706</v>
      </c>
      <c r="D58" t="s">
        <v>0</v>
      </c>
      <c r="E58">
        <v>68327</v>
      </c>
      <c r="F58" t="s">
        <v>1455</v>
      </c>
      <c r="G58" s="182" t="s">
        <v>1456</v>
      </c>
      <c r="H58" s="2">
        <v>12.96</v>
      </c>
      <c r="I58" s="2">
        <v>0</v>
      </c>
      <c r="J58" s="2">
        <v>0</v>
      </c>
      <c r="K58" s="15">
        <v>133.44</v>
      </c>
      <c r="L58" s="2">
        <v>0</v>
      </c>
      <c r="M58" s="2">
        <v>0</v>
      </c>
      <c r="N58" s="2">
        <v>0</v>
      </c>
      <c r="O58" s="2">
        <v>17.347200000000001</v>
      </c>
      <c r="P58" s="2">
        <v>163.74720000000002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x14ac:dyDescent="0.25">
      <c r="A59" t="s">
        <v>9017</v>
      </c>
      <c r="B59" t="s">
        <v>9283</v>
      </c>
      <c r="C59" t="s">
        <v>7706</v>
      </c>
      <c r="D59" t="s">
        <v>0</v>
      </c>
      <c r="E59">
        <v>70137</v>
      </c>
      <c r="F59" t="s">
        <v>1455</v>
      </c>
      <c r="G59" s="182" t="s">
        <v>1456</v>
      </c>
      <c r="H59" s="2">
        <v>9.2200000000000006</v>
      </c>
      <c r="I59" s="2">
        <v>0</v>
      </c>
      <c r="J59" s="2">
        <v>0</v>
      </c>
      <c r="K59" s="15">
        <v>92.18</v>
      </c>
      <c r="L59" s="2">
        <v>0</v>
      </c>
      <c r="M59" s="2">
        <v>0</v>
      </c>
      <c r="N59" s="2">
        <v>0</v>
      </c>
      <c r="O59" s="2">
        <v>11.983400000000001</v>
      </c>
      <c r="P59" s="2">
        <v>113.38340000000001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x14ac:dyDescent="0.25">
      <c r="A60" t="s">
        <v>9017</v>
      </c>
      <c r="B60" t="s">
        <v>9283</v>
      </c>
      <c r="C60" t="s">
        <v>7706</v>
      </c>
      <c r="D60" t="s">
        <v>0</v>
      </c>
      <c r="E60">
        <v>70243</v>
      </c>
      <c r="F60" t="s">
        <v>1455</v>
      </c>
      <c r="G60" s="182" t="s">
        <v>1456</v>
      </c>
      <c r="H60" s="2">
        <v>1.71</v>
      </c>
      <c r="I60" s="2">
        <v>0</v>
      </c>
      <c r="J60" s="2">
        <v>0</v>
      </c>
      <c r="K60" s="15">
        <v>17.07</v>
      </c>
      <c r="L60" s="2">
        <v>0</v>
      </c>
      <c r="M60" s="2">
        <v>0</v>
      </c>
      <c r="N60" s="2">
        <v>0</v>
      </c>
      <c r="O60" s="2">
        <v>2.2191000000000001</v>
      </c>
      <c r="P60" s="2">
        <v>20.999100000000002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x14ac:dyDescent="0.25">
      <c r="A61" t="s">
        <v>9017</v>
      </c>
      <c r="B61" t="s">
        <v>9276</v>
      </c>
      <c r="C61" t="s">
        <v>7706</v>
      </c>
      <c r="D61" t="s">
        <v>0</v>
      </c>
      <c r="E61">
        <v>69544</v>
      </c>
      <c r="F61" t="s">
        <v>1455</v>
      </c>
      <c r="G61" s="182" t="s">
        <v>1456</v>
      </c>
      <c r="H61" s="2">
        <v>10.44</v>
      </c>
      <c r="I61" s="2">
        <v>0</v>
      </c>
      <c r="J61" s="2">
        <v>0</v>
      </c>
      <c r="K61" s="15">
        <v>104.43</v>
      </c>
      <c r="L61" s="2">
        <v>0</v>
      </c>
      <c r="M61" s="2">
        <v>0</v>
      </c>
      <c r="N61" s="2">
        <v>0</v>
      </c>
      <c r="O61" s="2">
        <v>13.575900000000001</v>
      </c>
      <c r="P61" s="2">
        <v>128.44589999999999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x14ac:dyDescent="0.25">
      <c r="A62" t="s">
        <v>9017</v>
      </c>
      <c r="B62" t="s">
        <v>9282</v>
      </c>
      <c r="C62" t="s">
        <v>7706</v>
      </c>
      <c r="D62" t="s">
        <v>0</v>
      </c>
      <c r="E62">
        <v>68997</v>
      </c>
      <c r="F62" t="s">
        <v>1455</v>
      </c>
      <c r="G62" s="182" t="s">
        <v>1456</v>
      </c>
      <c r="H62" s="2">
        <v>10.040000000000001</v>
      </c>
      <c r="I62" s="2">
        <v>0</v>
      </c>
      <c r="J62" s="2">
        <v>0</v>
      </c>
      <c r="K62" s="15">
        <v>103.38</v>
      </c>
      <c r="L62" s="2">
        <v>0</v>
      </c>
      <c r="M62" s="2">
        <v>0</v>
      </c>
      <c r="N62" s="2">
        <v>0</v>
      </c>
      <c r="O62" s="2">
        <v>13.439399999999999</v>
      </c>
      <c r="P62" s="2">
        <v>126.85939999999999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x14ac:dyDescent="0.25">
      <c r="A63" t="s">
        <v>9017</v>
      </c>
      <c r="B63" t="s">
        <v>9266</v>
      </c>
      <c r="C63" t="s">
        <v>7706</v>
      </c>
      <c r="D63" t="s">
        <v>0</v>
      </c>
      <c r="E63">
        <v>64638</v>
      </c>
      <c r="F63" t="s">
        <v>1455</v>
      </c>
      <c r="G63" s="182" t="s">
        <v>1456</v>
      </c>
      <c r="H63" s="2">
        <v>12.57</v>
      </c>
      <c r="I63" s="2">
        <v>0</v>
      </c>
      <c r="J63" s="2">
        <v>0</v>
      </c>
      <c r="K63" s="15">
        <v>137.68</v>
      </c>
      <c r="L63" s="2">
        <v>0</v>
      </c>
      <c r="M63" s="2">
        <v>0</v>
      </c>
      <c r="N63" s="2">
        <v>0</v>
      </c>
      <c r="O63" s="2">
        <v>17.898400000000002</v>
      </c>
      <c r="P63" s="2">
        <v>168.14840000000001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x14ac:dyDescent="0.25">
      <c r="A64" t="s">
        <v>9017</v>
      </c>
      <c r="B64" t="s">
        <v>9266</v>
      </c>
      <c r="C64" t="s">
        <v>7706</v>
      </c>
      <c r="D64" t="s">
        <v>0</v>
      </c>
      <c r="E64">
        <v>64584</v>
      </c>
      <c r="F64" t="s">
        <v>1455</v>
      </c>
      <c r="G64" s="182" t="s">
        <v>1456</v>
      </c>
      <c r="H64" s="2">
        <v>1.7199999999999998</v>
      </c>
      <c r="I64" s="2">
        <v>0</v>
      </c>
      <c r="J64" s="2">
        <v>0</v>
      </c>
      <c r="K64" s="15">
        <v>18.829999999999998</v>
      </c>
      <c r="L64" s="2">
        <v>0</v>
      </c>
      <c r="M64" s="2">
        <v>0</v>
      </c>
      <c r="N64" s="2">
        <v>0</v>
      </c>
      <c r="O64" s="2">
        <v>2.4478999999999997</v>
      </c>
      <c r="P64" s="2">
        <v>22.997899999999998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x14ac:dyDescent="0.25">
      <c r="A65" t="s">
        <v>9017</v>
      </c>
      <c r="B65" t="s">
        <v>9281</v>
      </c>
      <c r="C65" t="s">
        <v>7706</v>
      </c>
      <c r="D65" t="s">
        <v>0</v>
      </c>
      <c r="E65">
        <v>65486</v>
      </c>
      <c r="F65" t="s">
        <v>1455</v>
      </c>
      <c r="G65" s="182" t="s">
        <v>1456</v>
      </c>
      <c r="H65" s="2">
        <v>9.7899999999999991</v>
      </c>
      <c r="I65" s="2">
        <v>0</v>
      </c>
      <c r="J65" s="2">
        <v>0</v>
      </c>
      <c r="K65" s="15">
        <v>107.16</v>
      </c>
      <c r="L65" s="2">
        <v>0</v>
      </c>
      <c r="M65" s="2">
        <v>0</v>
      </c>
      <c r="N65" s="2">
        <v>0</v>
      </c>
      <c r="O65" s="2">
        <v>13.9308</v>
      </c>
      <c r="P65" s="2">
        <v>130.88079999999999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x14ac:dyDescent="0.25">
      <c r="A66" t="s">
        <v>9017</v>
      </c>
      <c r="B66" t="s">
        <v>9280</v>
      </c>
      <c r="C66" t="s">
        <v>7706</v>
      </c>
      <c r="D66" t="s">
        <v>0</v>
      </c>
      <c r="E66">
        <v>65917</v>
      </c>
      <c r="F66" t="s">
        <v>1455</v>
      </c>
      <c r="G66" s="182" t="s">
        <v>1456</v>
      </c>
      <c r="H66" s="2">
        <v>1.1099999999999999</v>
      </c>
      <c r="I66" s="2">
        <v>0</v>
      </c>
      <c r="J66" s="2">
        <v>0</v>
      </c>
      <c r="K66" s="15">
        <v>12.28</v>
      </c>
      <c r="L66" s="2">
        <v>0</v>
      </c>
      <c r="M66" s="2">
        <v>0</v>
      </c>
      <c r="N66" s="2">
        <v>0</v>
      </c>
      <c r="O66" s="2">
        <v>1.5964</v>
      </c>
      <c r="P66" s="2">
        <v>14.9864</v>
      </c>
      <c r="Q66" t="s">
        <v>7868</v>
      </c>
      <c r="R66" t="s">
        <v>8045</v>
      </c>
      <c r="S66" s="2">
        <v>0</v>
      </c>
      <c r="T66" s="2">
        <v>0</v>
      </c>
      <c r="U66" s="2"/>
    </row>
    <row r="67" spans="1:21" x14ac:dyDescent="0.25">
      <c r="A67" t="s">
        <v>9017</v>
      </c>
      <c r="B67" t="s">
        <v>9279</v>
      </c>
      <c r="C67" t="s">
        <v>7706</v>
      </c>
      <c r="D67" t="s">
        <v>0</v>
      </c>
      <c r="E67">
        <v>66287</v>
      </c>
      <c r="F67" t="s">
        <v>1455</v>
      </c>
      <c r="G67" s="182" t="s">
        <v>1456</v>
      </c>
      <c r="H67" s="2">
        <v>10.27</v>
      </c>
      <c r="I67" s="2">
        <v>0</v>
      </c>
      <c r="J67" s="2">
        <v>0</v>
      </c>
      <c r="K67" s="15">
        <v>112.41</v>
      </c>
      <c r="L67" s="2">
        <v>0</v>
      </c>
      <c r="M67" s="2">
        <v>0</v>
      </c>
      <c r="N67" s="2">
        <v>0</v>
      </c>
      <c r="O67" s="2">
        <v>14.613300000000001</v>
      </c>
      <c r="P67" s="2">
        <v>137.29329999999999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x14ac:dyDescent="0.25">
      <c r="A68" t="s">
        <v>9017</v>
      </c>
      <c r="B68" t="s">
        <v>9272</v>
      </c>
      <c r="C68" t="s">
        <v>7706</v>
      </c>
      <c r="D68" t="s">
        <v>0</v>
      </c>
      <c r="E68">
        <v>66783</v>
      </c>
      <c r="F68" t="s">
        <v>1455</v>
      </c>
      <c r="G68" s="182" t="s">
        <v>1456</v>
      </c>
      <c r="H68" s="2">
        <v>1.0499999999999998</v>
      </c>
      <c r="I68" s="2">
        <v>0</v>
      </c>
      <c r="J68" s="2">
        <v>0</v>
      </c>
      <c r="K68" s="15">
        <v>11.46</v>
      </c>
      <c r="L68" s="2">
        <v>0</v>
      </c>
      <c r="M68" s="2">
        <v>0</v>
      </c>
      <c r="N68" s="2">
        <v>0</v>
      </c>
      <c r="O68" s="2">
        <v>1.4898000000000002</v>
      </c>
      <c r="P68" s="2">
        <v>13.999800000000002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x14ac:dyDescent="0.25">
      <c r="A69" t="s">
        <v>9017</v>
      </c>
      <c r="B69" t="s">
        <v>9278</v>
      </c>
      <c r="C69" t="s">
        <v>7706</v>
      </c>
      <c r="D69" t="s">
        <v>0</v>
      </c>
      <c r="E69">
        <v>67337</v>
      </c>
      <c r="F69" t="s">
        <v>1455</v>
      </c>
      <c r="G69" s="182" t="s">
        <v>1456</v>
      </c>
      <c r="H69" s="2">
        <v>13.06</v>
      </c>
      <c r="I69" s="2">
        <v>0</v>
      </c>
      <c r="J69" s="2">
        <v>0</v>
      </c>
      <c r="K69" s="15">
        <v>134.47999999999999</v>
      </c>
      <c r="L69" s="2">
        <v>0</v>
      </c>
      <c r="M69" s="2">
        <v>0</v>
      </c>
      <c r="N69" s="2">
        <v>0</v>
      </c>
      <c r="O69" s="2">
        <v>17.482399999999998</v>
      </c>
      <c r="P69" s="2">
        <v>165.0224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x14ac:dyDescent="0.25">
      <c r="A70" t="s">
        <v>9017</v>
      </c>
      <c r="B70" t="s">
        <v>9276</v>
      </c>
      <c r="C70" s="21" t="s">
        <v>9255</v>
      </c>
      <c r="D70" t="s">
        <v>0</v>
      </c>
      <c r="E70" t="s">
        <v>9277</v>
      </c>
      <c r="F70" t="s">
        <v>2876</v>
      </c>
      <c r="G70" s="42" t="s">
        <v>2877</v>
      </c>
      <c r="H70" s="2">
        <v>0</v>
      </c>
      <c r="I70" s="2">
        <v>0</v>
      </c>
      <c r="J70" s="2">
        <v>0</v>
      </c>
      <c r="K70" s="15">
        <v>127.6</v>
      </c>
      <c r="L70" s="2">
        <v>0</v>
      </c>
      <c r="M70" s="2">
        <v>0</v>
      </c>
      <c r="N70" s="2">
        <v>0</v>
      </c>
      <c r="O70" s="2">
        <v>16.588000000000001</v>
      </c>
      <c r="P70" s="2">
        <v>144.18799999999999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x14ac:dyDescent="0.25">
      <c r="A71" t="s">
        <v>9017</v>
      </c>
      <c r="B71" t="s">
        <v>9274</v>
      </c>
      <c r="C71" s="21" t="s">
        <v>9255</v>
      </c>
      <c r="D71" t="s">
        <v>0</v>
      </c>
      <c r="E71" t="s">
        <v>9275</v>
      </c>
      <c r="F71" t="s">
        <v>2876</v>
      </c>
      <c r="G71" s="42" t="s">
        <v>2877</v>
      </c>
      <c r="H71" s="2">
        <v>0</v>
      </c>
      <c r="I71" s="2">
        <v>0</v>
      </c>
      <c r="J71" s="2">
        <v>0</v>
      </c>
      <c r="K71" s="15">
        <v>83.47</v>
      </c>
      <c r="L71" s="2">
        <v>0</v>
      </c>
      <c r="M71" s="2">
        <v>0</v>
      </c>
      <c r="N71" s="2">
        <v>0</v>
      </c>
      <c r="O71" s="2">
        <v>10.851100000000001</v>
      </c>
      <c r="P71" s="2">
        <v>94.321100000000001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x14ac:dyDescent="0.25">
      <c r="A72" t="s">
        <v>9017</v>
      </c>
      <c r="B72" t="s">
        <v>9272</v>
      </c>
      <c r="C72" s="21" t="s">
        <v>9255</v>
      </c>
      <c r="D72" t="s">
        <v>0</v>
      </c>
      <c r="E72" t="s">
        <v>9273</v>
      </c>
      <c r="F72" t="s">
        <v>2876</v>
      </c>
      <c r="G72" s="42" t="s">
        <v>2877</v>
      </c>
      <c r="H72" s="2">
        <v>0</v>
      </c>
      <c r="I72" s="2">
        <v>0</v>
      </c>
      <c r="J72" s="2">
        <v>0</v>
      </c>
      <c r="K72" s="15">
        <v>55.01</v>
      </c>
      <c r="L72" s="2">
        <v>0</v>
      </c>
      <c r="M72" s="2">
        <v>0</v>
      </c>
      <c r="N72" s="2">
        <v>0</v>
      </c>
      <c r="O72" s="2">
        <v>7.1513</v>
      </c>
      <c r="P72" s="2">
        <v>62.161299999999997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ht="15.75" thickBot="1" x14ac:dyDescent="0.3">
      <c r="A73" t="s">
        <v>9017</v>
      </c>
      <c r="B73" t="s">
        <v>9270</v>
      </c>
      <c r="C73" s="21" t="s">
        <v>9255</v>
      </c>
      <c r="D73" t="s">
        <v>0</v>
      </c>
      <c r="E73" t="s">
        <v>9271</v>
      </c>
      <c r="F73" t="s">
        <v>2876</v>
      </c>
      <c r="G73" s="42" t="s">
        <v>2877</v>
      </c>
      <c r="H73" s="2">
        <v>0</v>
      </c>
      <c r="I73" s="2">
        <v>0</v>
      </c>
      <c r="J73" s="2">
        <v>0</v>
      </c>
      <c r="K73" s="15">
        <v>64.28</v>
      </c>
      <c r="L73" s="2">
        <v>0</v>
      </c>
      <c r="M73" s="2">
        <v>0</v>
      </c>
      <c r="N73" s="2">
        <v>0</v>
      </c>
      <c r="O73" s="2">
        <v>8.3564000000000007</v>
      </c>
      <c r="P73" s="2">
        <v>72.636400000000009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ht="15.75" thickBot="1" x14ac:dyDescent="0.3">
      <c r="A74" s="167" t="s">
        <v>71</v>
      </c>
      <c r="B74" s="168"/>
      <c r="C74" s="168"/>
      <c r="D74" s="168"/>
      <c r="E74" s="168"/>
      <c r="F74" s="168"/>
      <c r="G74" s="169"/>
      <c r="H74" s="123">
        <f>+SUBTOTAL(9,Tabla1[C. EXENTAS])</f>
        <v>197.40290000000002</v>
      </c>
      <c r="I74" s="123">
        <f>+SUBTOTAL(9,Tabla1[I. EXENTAS])</f>
        <v>0</v>
      </c>
      <c r="J74" s="123">
        <f>+SUBTOTAL(9,Tabla1[IMPOR EX])</f>
        <v>0</v>
      </c>
      <c r="K74" s="123">
        <f>+SUBTOTAL(9,Tabla1[C. GRAVADA])</f>
        <v>4313.2000000000007</v>
      </c>
      <c r="L74" s="123">
        <f>+SUBTOTAL(9,Tabla1[INTER GRAVA])</f>
        <v>0</v>
      </c>
      <c r="M74" s="123">
        <f>+SUBTOTAL(9,Tabla1[IMPOR BIENES])</f>
        <v>0</v>
      </c>
      <c r="N74" s="123">
        <f>+SUBTOTAL(9,Tabla1[IMPOR SERV])</f>
        <v>0</v>
      </c>
      <c r="O74" s="123">
        <f>+SUBTOTAL(9,Tabla1[IVA])</f>
        <v>560.71600000000001</v>
      </c>
      <c r="P74" s="123">
        <f>+SUBTOTAL(9,Tabla1[TOTAL C.])</f>
        <v>5071.3188999999993</v>
      </c>
      <c r="Q74" s="123"/>
      <c r="R74" s="123"/>
      <c r="S74" s="123"/>
      <c r="T74" s="123">
        <f>+SUBTOTAL(9,Tabla1[PERCEPCIONES])</f>
        <v>0</v>
      </c>
      <c r="U74" s="2"/>
    </row>
    <row r="75" spans="1:21" x14ac:dyDescent="0.25">
      <c r="U75" s="2"/>
    </row>
    <row r="76" spans="1:21" x14ac:dyDescent="0.25">
      <c r="U76" s="2"/>
    </row>
    <row r="77" spans="1:21" x14ac:dyDescent="0.25">
      <c r="U77" s="2"/>
    </row>
    <row r="78" spans="1:21" x14ac:dyDescent="0.25">
      <c r="U78" s="2"/>
    </row>
    <row r="79" spans="1:21" x14ac:dyDescent="0.25">
      <c r="U79" s="2"/>
    </row>
    <row r="80" spans="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111"/>
    </row>
    <row r="226" spans="21:21" x14ac:dyDescent="0.25">
      <c r="U226" s="111"/>
    </row>
    <row r="227" spans="21:21" x14ac:dyDescent="0.25">
      <c r="U227" s="111"/>
    </row>
    <row r="228" spans="21:21" x14ac:dyDescent="0.25">
      <c r="U228" s="111"/>
    </row>
    <row r="229" spans="21:21" x14ac:dyDescent="0.25">
      <c r="U229" s="111"/>
    </row>
    <row r="230" spans="21:21" x14ac:dyDescent="0.25">
      <c r="U230" s="111"/>
    </row>
    <row r="231" spans="21:21" x14ac:dyDescent="0.25">
      <c r="U231" s="111"/>
    </row>
    <row r="232" spans="21:21" x14ac:dyDescent="0.25">
      <c r="U232" s="111"/>
    </row>
    <row r="233" spans="21:21" x14ac:dyDescent="0.25">
      <c r="U233" s="111"/>
    </row>
    <row r="234" spans="21:21" x14ac:dyDescent="0.25">
      <c r="U234" s="111"/>
    </row>
    <row r="235" spans="21:21" x14ac:dyDescent="0.25">
      <c r="U235" s="111"/>
    </row>
    <row r="236" spans="21:21" x14ac:dyDescent="0.25">
      <c r="U236" s="111"/>
    </row>
    <row r="237" spans="21:21" x14ac:dyDescent="0.25">
      <c r="U237" s="111"/>
    </row>
    <row r="238" spans="21:21" x14ac:dyDescent="0.25">
      <c r="U238" s="111"/>
    </row>
    <row r="239" spans="21:21" x14ac:dyDescent="0.25">
      <c r="U239" s="111"/>
    </row>
    <row r="240" spans="21:21" x14ac:dyDescent="0.25">
      <c r="U240" s="111"/>
    </row>
    <row r="241" spans="21:21" x14ac:dyDescent="0.25">
      <c r="U241" s="111"/>
    </row>
    <row r="242" spans="21:21" x14ac:dyDescent="0.25">
      <c r="U242" s="111"/>
    </row>
    <row r="243" spans="21:21" x14ac:dyDescent="0.25">
      <c r="U243" s="111"/>
    </row>
    <row r="244" spans="21:21" x14ac:dyDescent="0.25">
      <c r="U244" s="111"/>
    </row>
    <row r="245" spans="21:21" x14ac:dyDescent="0.25">
      <c r="U245" s="111"/>
    </row>
    <row r="246" spans="21:21" x14ac:dyDescent="0.25">
      <c r="U246" s="111"/>
    </row>
    <row r="247" spans="21:21" x14ac:dyDescent="0.25">
      <c r="U247" s="111"/>
    </row>
    <row r="248" spans="21:21" x14ac:dyDescent="0.25">
      <c r="U248" s="111"/>
    </row>
    <row r="249" spans="21:21" x14ac:dyDescent="0.25">
      <c r="U249" s="111"/>
    </row>
    <row r="250" spans="21:21" x14ac:dyDescent="0.25">
      <c r="U250" s="111"/>
    </row>
    <row r="251" spans="21:21" x14ac:dyDescent="0.25">
      <c r="U251" s="111"/>
    </row>
    <row r="252" spans="21:21" x14ac:dyDescent="0.25">
      <c r="U252" s="111"/>
    </row>
    <row r="253" spans="21:21" x14ac:dyDescent="0.25">
      <c r="U253" s="111"/>
    </row>
    <row r="254" spans="21:21" x14ac:dyDescent="0.25">
      <c r="U254" s="111"/>
    </row>
    <row r="255" spans="21:21" x14ac:dyDescent="0.25">
      <c r="U255" s="111"/>
    </row>
    <row r="256" spans="21:21" x14ac:dyDescent="0.25">
      <c r="U256" s="111"/>
    </row>
    <row r="257" spans="21:21" x14ac:dyDescent="0.25">
      <c r="U257" s="111"/>
    </row>
    <row r="258" spans="21:21" x14ac:dyDescent="0.25">
      <c r="U258" s="111"/>
    </row>
    <row r="259" spans="21:21" x14ac:dyDescent="0.25">
      <c r="U259" s="111"/>
    </row>
    <row r="260" spans="21:21" x14ac:dyDescent="0.25">
      <c r="U260" s="111"/>
    </row>
    <row r="261" spans="21:21" x14ac:dyDescent="0.25">
      <c r="U261" s="111"/>
    </row>
    <row r="262" spans="21:21" x14ac:dyDescent="0.25">
      <c r="U262" s="111"/>
    </row>
    <row r="263" spans="21:21" x14ac:dyDescent="0.25">
      <c r="U263" s="111"/>
    </row>
    <row r="264" spans="21:21" x14ac:dyDescent="0.25">
      <c r="U264" s="111"/>
    </row>
    <row r="265" spans="21:21" x14ac:dyDescent="0.25">
      <c r="U265" s="111"/>
    </row>
    <row r="266" spans="21:21" x14ac:dyDescent="0.25">
      <c r="U266" s="111"/>
    </row>
    <row r="267" spans="21:21" x14ac:dyDescent="0.25">
      <c r="U267" s="111"/>
    </row>
    <row r="268" spans="21:21" x14ac:dyDescent="0.25">
      <c r="U268" s="111"/>
    </row>
    <row r="269" spans="21:21" x14ac:dyDescent="0.25">
      <c r="U269" s="111"/>
    </row>
    <row r="270" spans="21:21" x14ac:dyDescent="0.25">
      <c r="U270" s="111"/>
    </row>
    <row r="271" spans="21:21" x14ac:dyDescent="0.25">
      <c r="U271" s="111"/>
    </row>
    <row r="272" spans="21:21" x14ac:dyDescent="0.25">
      <c r="U272" s="111"/>
    </row>
    <row r="273" spans="21:21" x14ac:dyDescent="0.25">
      <c r="U273" s="111"/>
    </row>
    <row r="274" spans="21:21" x14ac:dyDescent="0.25">
      <c r="U274" s="111"/>
    </row>
    <row r="275" spans="21:21" x14ac:dyDescent="0.25">
      <c r="U275" s="111"/>
    </row>
    <row r="276" spans="21:21" x14ac:dyDescent="0.25">
      <c r="U276" s="111"/>
    </row>
    <row r="277" spans="21:21" x14ac:dyDescent="0.25">
      <c r="U277" s="111"/>
    </row>
    <row r="278" spans="21:21" x14ac:dyDescent="0.25">
      <c r="U278" s="111"/>
    </row>
    <row r="279" spans="21:21" x14ac:dyDescent="0.25">
      <c r="U279" s="111"/>
    </row>
    <row r="280" spans="21:21" x14ac:dyDescent="0.25">
      <c r="U280" s="111"/>
    </row>
    <row r="281" spans="21:21" x14ac:dyDescent="0.25">
      <c r="U281" s="111"/>
    </row>
    <row r="282" spans="21:21" x14ac:dyDescent="0.25">
      <c r="U282" s="111"/>
    </row>
    <row r="283" spans="21:21" x14ac:dyDescent="0.25">
      <c r="U283" s="111"/>
    </row>
    <row r="284" spans="21:21" x14ac:dyDescent="0.25">
      <c r="U284" s="111"/>
    </row>
    <row r="285" spans="21:21" x14ac:dyDescent="0.25">
      <c r="U285" s="111"/>
    </row>
    <row r="286" spans="21:21" x14ac:dyDescent="0.25">
      <c r="U286" s="111"/>
    </row>
    <row r="287" spans="21:21" x14ac:dyDescent="0.25">
      <c r="U287" s="111"/>
    </row>
    <row r="288" spans="21:21" x14ac:dyDescent="0.25">
      <c r="U288" s="111"/>
    </row>
    <row r="289" spans="21:21" x14ac:dyDescent="0.25">
      <c r="U289" s="111"/>
    </row>
    <row r="290" spans="21:21" x14ac:dyDescent="0.25">
      <c r="U290" s="111"/>
    </row>
    <row r="291" spans="21:21" x14ac:dyDescent="0.25">
      <c r="U291" s="111"/>
    </row>
    <row r="292" spans="21:21" x14ac:dyDescent="0.25">
      <c r="U292" s="111"/>
    </row>
    <row r="293" spans="21:21" x14ac:dyDescent="0.25">
      <c r="U293" s="111"/>
    </row>
    <row r="294" spans="21:21" x14ac:dyDescent="0.25">
      <c r="U294" s="111"/>
    </row>
    <row r="295" spans="21:21" x14ac:dyDescent="0.25">
      <c r="U295" s="111"/>
    </row>
    <row r="296" spans="21:21" x14ac:dyDescent="0.25">
      <c r="U296" s="111"/>
    </row>
    <row r="297" spans="21:21" x14ac:dyDescent="0.25">
      <c r="U297" s="111"/>
    </row>
    <row r="298" spans="21:21" x14ac:dyDescent="0.25">
      <c r="U298" s="111"/>
    </row>
    <row r="299" spans="21:21" x14ac:dyDescent="0.25">
      <c r="U299" s="111"/>
    </row>
    <row r="300" spans="21:21" x14ac:dyDescent="0.25">
      <c r="U300" s="111"/>
    </row>
    <row r="301" spans="21:21" x14ac:dyDescent="0.25">
      <c r="U301" s="111"/>
    </row>
    <row r="302" spans="21:21" x14ac:dyDescent="0.25">
      <c r="U302" s="111"/>
    </row>
    <row r="303" spans="21:21" x14ac:dyDescent="0.25">
      <c r="U303" s="111"/>
    </row>
    <row r="304" spans="21:21" x14ac:dyDescent="0.25">
      <c r="U304" s="111"/>
    </row>
    <row r="305" spans="21:21" x14ac:dyDescent="0.25">
      <c r="U305" s="111"/>
    </row>
    <row r="306" spans="21:21" x14ac:dyDescent="0.25">
      <c r="U306" s="111"/>
    </row>
    <row r="307" spans="21:21" x14ac:dyDescent="0.25">
      <c r="U307" s="111"/>
    </row>
    <row r="308" spans="21:21" x14ac:dyDescent="0.25">
      <c r="U308" s="111"/>
    </row>
    <row r="309" spans="21:21" x14ac:dyDescent="0.25">
      <c r="U309" s="111"/>
    </row>
    <row r="310" spans="21:21" x14ac:dyDescent="0.25">
      <c r="U310" s="111"/>
    </row>
    <row r="311" spans="21:21" x14ac:dyDescent="0.25">
      <c r="U311" s="111"/>
    </row>
    <row r="312" spans="21:21" x14ac:dyDescent="0.25">
      <c r="U312" s="111"/>
    </row>
    <row r="313" spans="21:21" x14ac:dyDescent="0.25">
      <c r="U313" s="111"/>
    </row>
    <row r="314" spans="21:21" x14ac:dyDescent="0.25">
      <c r="U314" s="111"/>
    </row>
    <row r="315" spans="21:21" x14ac:dyDescent="0.25">
      <c r="U315" s="111"/>
    </row>
    <row r="316" spans="21:21" x14ac:dyDescent="0.25">
      <c r="U316" s="111"/>
    </row>
    <row r="317" spans="21:21" x14ac:dyDescent="0.25">
      <c r="U317" s="111"/>
    </row>
    <row r="318" spans="21:21" x14ac:dyDescent="0.25">
      <c r="U318" s="111"/>
    </row>
    <row r="319" spans="21:21" x14ac:dyDescent="0.25">
      <c r="U319" s="111"/>
    </row>
    <row r="320" spans="21:21" x14ac:dyDescent="0.25">
      <c r="U320" s="111"/>
    </row>
    <row r="321" spans="21:21" x14ac:dyDescent="0.25">
      <c r="U321" s="111"/>
    </row>
    <row r="322" spans="21:21" x14ac:dyDescent="0.25">
      <c r="U322" s="111"/>
    </row>
    <row r="323" spans="21:21" x14ac:dyDescent="0.25">
      <c r="U323" s="111"/>
    </row>
    <row r="324" spans="21:21" x14ac:dyDescent="0.25">
      <c r="U324" s="111"/>
    </row>
    <row r="325" spans="21:21" x14ac:dyDescent="0.25">
      <c r="U325" s="111"/>
    </row>
    <row r="326" spans="21:21" x14ac:dyDescent="0.25">
      <c r="U326" s="111"/>
    </row>
    <row r="327" spans="21:21" x14ac:dyDescent="0.25">
      <c r="U327" s="111"/>
    </row>
    <row r="328" spans="21:21" x14ac:dyDescent="0.25">
      <c r="U328" s="111"/>
    </row>
    <row r="329" spans="21:21" x14ac:dyDescent="0.25">
      <c r="U329" s="111"/>
    </row>
    <row r="330" spans="21:21" x14ac:dyDescent="0.25">
      <c r="U330" s="111"/>
    </row>
    <row r="331" spans="21:21" x14ac:dyDescent="0.25">
      <c r="U331" s="111"/>
    </row>
    <row r="332" spans="21:21" x14ac:dyDescent="0.25">
      <c r="U332" s="111"/>
    </row>
    <row r="333" spans="21:21" x14ac:dyDescent="0.25">
      <c r="U333" s="111"/>
    </row>
    <row r="334" spans="21:21" x14ac:dyDescent="0.25">
      <c r="U334" s="111"/>
    </row>
    <row r="335" spans="21:21" x14ac:dyDescent="0.25">
      <c r="U335" s="111"/>
    </row>
    <row r="336" spans="21:21" x14ac:dyDescent="0.25">
      <c r="U336" s="111"/>
    </row>
    <row r="337" spans="21:21" x14ac:dyDescent="0.25">
      <c r="U337" s="111"/>
    </row>
    <row r="338" spans="21:21" x14ac:dyDescent="0.25">
      <c r="U338" s="111"/>
    </row>
    <row r="339" spans="21:21" x14ac:dyDescent="0.25">
      <c r="U339" s="111"/>
    </row>
    <row r="340" spans="21:21" x14ac:dyDescent="0.25">
      <c r="U340" s="111"/>
    </row>
    <row r="341" spans="21:21" x14ac:dyDescent="0.25">
      <c r="U341" s="111"/>
    </row>
    <row r="342" spans="21:21" x14ac:dyDescent="0.25">
      <c r="U342" s="111"/>
    </row>
    <row r="343" spans="21:21" x14ac:dyDescent="0.25">
      <c r="U343" s="111"/>
    </row>
    <row r="344" spans="21:21" x14ac:dyDescent="0.25">
      <c r="U344" s="111"/>
    </row>
    <row r="345" spans="21:21" x14ac:dyDescent="0.25">
      <c r="U345" s="111"/>
    </row>
    <row r="346" spans="21:21" x14ac:dyDescent="0.25">
      <c r="U346" s="111"/>
    </row>
    <row r="347" spans="21:21" x14ac:dyDescent="0.25">
      <c r="U347" s="111"/>
    </row>
    <row r="348" spans="21:21" x14ac:dyDescent="0.25">
      <c r="U348" s="111"/>
    </row>
    <row r="349" spans="21:21" x14ac:dyDescent="0.25">
      <c r="U349" s="111"/>
    </row>
    <row r="350" spans="21:21" x14ac:dyDescent="0.25">
      <c r="U350" s="111"/>
    </row>
    <row r="351" spans="21:21" x14ac:dyDescent="0.25">
      <c r="U351" s="111"/>
    </row>
    <row r="352" spans="21:21" x14ac:dyDescent="0.25">
      <c r="U352" s="111"/>
    </row>
    <row r="353" spans="21:21" x14ac:dyDescent="0.25">
      <c r="U353" s="111"/>
    </row>
    <row r="354" spans="21:21" x14ac:dyDescent="0.25">
      <c r="U354" s="111"/>
    </row>
    <row r="355" spans="21:21" x14ac:dyDescent="0.25">
      <c r="U355" s="111"/>
    </row>
    <row r="356" spans="21:21" x14ac:dyDescent="0.25">
      <c r="U356" s="111"/>
    </row>
    <row r="357" spans="21:21" x14ac:dyDescent="0.25">
      <c r="U357" s="111"/>
    </row>
    <row r="358" spans="21:21" x14ac:dyDescent="0.25">
      <c r="U358" s="111"/>
    </row>
    <row r="359" spans="21:21" x14ac:dyDescent="0.25">
      <c r="U359" s="111"/>
    </row>
    <row r="360" spans="21:21" x14ac:dyDescent="0.25">
      <c r="U360" s="111"/>
    </row>
    <row r="361" spans="21:21" x14ac:dyDescent="0.25">
      <c r="U361" s="111"/>
    </row>
    <row r="362" spans="21:21" x14ac:dyDescent="0.25">
      <c r="U362" s="111"/>
    </row>
    <row r="363" spans="21:21" x14ac:dyDescent="0.25">
      <c r="U363" s="111"/>
    </row>
    <row r="364" spans="21:21" x14ac:dyDescent="0.25">
      <c r="U364" s="111"/>
    </row>
    <row r="366" spans="21:21" x14ac:dyDescent="0.25">
      <c r="U366" s="111"/>
    </row>
    <row r="367" spans="21:21" x14ac:dyDescent="0.25">
      <c r="U367" s="111"/>
    </row>
    <row r="368" spans="21:21" x14ac:dyDescent="0.25">
      <c r="U368" s="111"/>
    </row>
    <row r="369" spans="21:21" x14ac:dyDescent="0.25">
      <c r="U369" s="111"/>
    </row>
    <row r="370" spans="21:21" x14ac:dyDescent="0.25">
      <c r="U370" s="111"/>
    </row>
    <row r="371" spans="21:21" x14ac:dyDescent="0.25">
      <c r="U371" s="111"/>
    </row>
    <row r="372" spans="21:21" x14ac:dyDescent="0.25">
      <c r="U372" s="111"/>
    </row>
    <row r="373" spans="21:21" x14ac:dyDescent="0.25">
      <c r="U373" s="111"/>
    </row>
    <row r="374" spans="21:21" x14ac:dyDescent="0.25">
      <c r="U374" s="111"/>
    </row>
    <row r="375" spans="21:21" x14ac:dyDescent="0.25">
      <c r="U375" s="111"/>
    </row>
    <row r="376" spans="21:21" x14ac:dyDescent="0.25">
      <c r="U376" s="111"/>
    </row>
    <row r="377" spans="21:21" x14ac:dyDescent="0.25">
      <c r="U377" s="111"/>
    </row>
    <row r="378" spans="21:21" x14ac:dyDescent="0.25">
      <c r="U378" s="111"/>
    </row>
    <row r="379" spans="21:21" x14ac:dyDescent="0.25">
      <c r="U379" s="111"/>
    </row>
    <row r="380" spans="21:21" x14ac:dyDescent="0.25">
      <c r="U380" s="111"/>
    </row>
    <row r="381" spans="21:21" x14ac:dyDescent="0.25">
      <c r="U381" s="111"/>
    </row>
    <row r="382" spans="21:21" x14ac:dyDescent="0.25">
      <c r="U382" s="111"/>
    </row>
    <row r="383" spans="21:21" x14ac:dyDescent="0.25">
      <c r="U383" s="111"/>
    </row>
    <row r="384" spans="21:21" x14ac:dyDescent="0.25">
      <c r="U384" s="111"/>
    </row>
    <row r="385" spans="21:21" x14ac:dyDescent="0.25">
      <c r="U385" s="111"/>
    </row>
    <row r="386" spans="21:21" x14ac:dyDescent="0.25">
      <c r="U386" s="111"/>
    </row>
    <row r="387" spans="21:21" x14ac:dyDescent="0.25">
      <c r="U387" s="111"/>
    </row>
    <row r="388" spans="21:21" x14ac:dyDescent="0.25">
      <c r="U388" s="111"/>
    </row>
    <row r="389" spans="21:21" x14ac:dyDescent="0.25">
      <c r="U389" s="111"/>
    </row>
    <row r="390" spans="21:21" x14ac:dyDescent="0.25">
      <c r="U390" s="111"/>
    </row>
    <row r="391" spans="21:21" x14ac:dyDescent="0.25">
      <c r="U391" s="111"/>
    </row>
    <row r="392" spans="21:21" x14ac:dyDescent="0.25">
      <c r="U392" s="111"/>
    </row>
    <row r="393" spans="21:21" x14ac:dyDescent="0.25">
      <c r="U393" s="111"/>
    </row>
    <row r="394" spans="21:21" x14ac:dyDescent="0.25">
      <c r="U394" s="111"/>
    </row>
    <row r="395" spans="21:21" x14ac:dyDescent="0.25">
      <c r="U395" s="111"/>
    </row>
    <row r="396" spans="21:21" x14ac:dyDescent="0.25">
      <c r="U396" s="111"/>
    </row>
    <row r="397" spans="21:21" x14ac:dyDescent="0.25">
      <c r="U397" s="111"/>
    </row>
    <row r="398" spans="21:21" x14ac:dyDescent="0.25">
      <c r="U398" s="111"/>
    </row>
    <row r="399" spans="21:21" x14ac:dyDescent="0.25">
      <c r="U399" s="111"/>
    </row>
    <row r="400" spans="21:21" x14ac:dyDescent="0.25">
      <c r="U400" s="111"/>
    </row>
    <row r="401" spans="21:21" x14ac:dyDescent="0.25">
      <c r="U401" s="111"/>
    </row>
    <row r="402" spans="21:21" x14ac:dyDescent="0.25">
      <c r="U402" s="111"/>
    </row>
    <row r="403" spans="21:21" x14ac:dyDescent="0.25">
      <c r="U403" s="111"/>
    </row>
    <row r="404" spans="21:21" x14ac:dyDescent="0.25">
      <c r="U404" s="111"/>
    </row>
    <row r="405" spans="21:21" x14ac:dyDescent="0.25">
      <c r="U405" s="111"/>
    </row>
    <row r="406" spans="21:21" x14ac:dyDescent="0.25">
      <c r="U406" s="111"/>
    </row>
    <row r="407" spans="21:21" x14ac:dyDescent="0.25">
      <c r="U407" s="111"/>
    </row>
    <row r="408" spans="21:21" x14ac:dyDescent="0.25">
      <c r="U408" s="111"/>
    </row>
    <row r="409" spans="21:21" x14ac:dyDescent="0.25">
      <c r="U409" s="111"/>
    </row>
    <row r="410" spans="21:21" x14ac:dyDescent="0.25">
      <c r="U410" s="111"/>
    </row>
    <row r="411" spans="21:21" x14ac:dyDescent="0.25">
      <c r="U411" s="111"/>
    </row>
    <row r="412" spans="21:21" x14ac:dyDescent="0.25">
      <c r="U412" s="111"/>
    </row>
    <row r="413" spans="21:21" x14ac:dyDescent="0.25">
      <c r="U413" s="111"/>
    </row>
    <row r="414" spans="21:21" x14ac:dyDescent="0.25">
      <c r="U414" s="111"/>
    </row>
    <row r="415" spans="21:21" x14ac:dyDescent="0.25">
      <c r="U415" s="111"/>
    </row>
    <row r="416" spans="21:21" x14ac:dyDescent="0.25">
      <c r="U416" s="111"/>
    </row>
    <row r="417" spans="21:21" x14ac:dyDescent="0.25">
      <c r="U417" s="111"/>
    </row>
    <row r="418" spans="21:21" x14ac:dyDescent="0.25">
      <c r="U418" s="111"/>
    </row>
    <row r="419" spans="21:21" x14ac:dyDescent="0.25">
      <c r="U419" s="111"/>
    </row>
    <row r="420" spans="21:21" x14ac:dyDescent="0.25">
      <c r="U420" s="111"/>
    </row>
    <row r="421" spans="21:21" x14ac:dyDescent="0.25">
      <c r="U421" s="111"/>
    </row>
    <row r="422" spans="21:21" x14ac:dyDescent="0.25">
      <c r="U422" s="111"/>
    </row>
    <row r="423" spans="21:21" x14ac:dyDescent="0.25">
      <c r="U423" s="111"/>
    </row>
    <row r="424" spans="21:21" x14ac:dyDescent="0.25">
      <c r="U424" s="111"/>
    </row>
    <row r="425" spans="21:21" x14ac:dyDescent="0.25">
      <c r="U425" s="111"/>
    </row>
    <row r="426" spans="21:21" x14ac:dyDescent="0.25">
      <c r="U426" s="111"/>
    </row>
    <row r="427" spans="21:21" x14ac:dyDescent="0.25">
      <c r="U427" s="111"/>
    </row>
    <row r="428" spans="21:21" x14ac:dyDescent="0.25">
      <c r="U428" s="111"/>
    </row>
    <row r="429" spans="21:21" x14ac:dyDescent="0.25">
      <c r="U429" s="111"/>
    </row>
    <row r="430" spans="21:21" x14ac:dyDescent="0.25">
      <c r="U430" s="111"/>
    </row>
    <row r="431" spans="21:21" x14ac:dyDescent="0.25">
      <c r="U431" s="111"/>
    </row>
    <row r="432" spans="21:21" x14ac:dyDescent="0.25">
      <c r="U432" s="111"/>
    </row>
    <row r="433" spans="21:21" x14ac:dyDescent="0.25">
      <c r="U433" s="111"/>
    </row>
    <row r="434" spans="21:21" x14ac:dyDescent="0.25">
      <c r="U434" s="111"/>
    </row>
    <row r="435" spans="21:21" x14ac:dyDescent="0.25">
      <c r="U435" s="111"/>
    </row>
    <row r="436" spans="21:21" x14ac:dyDescent="0.25">
      <c r="U436" s="111"/>
    </row>
    <row r="437" spans="21:21" x14ac:dyDescent="0.25">
      <c r="U437" s="111"/>
    </row>
    <row r="438" spans="21:21" x14ac:dyDescent="0.25">
      <c r="U438" s="111"/>
    </row>
    <row r="439" spans="21:21" x14ac:dyDescent="0.25">
      <c r="U439" s="111"/>
    </row>
    <row r="440" spans="21:21" x14ac:dyDescent="0.25">
      <c r="U440" s="111"/>
    </row>
    <row r="441" spans="21:21" x14ac:dyDescent="0.25">
      <c r="U441" s="111"/>
    </row>
    <row r="442" spans="21:21" x14ac:dyDescent="0.25">
      <c r="U442" s="111"/>
    </row>
    <row r="443" spans="21:21" x14ac:dyDescent="0.25">
      <c r="U443" s="111"/>
    </row>
    <row r="444" spans="21:21" x14ac:dyDescent="0.25">
      <c r="U444" s="111"/>
    </row>
    <row r="445" spans="21:21" x14ac:dyDescent="0.25">
      <c r="U445" s="111"/>
    </row>
    <row r="446" spans="21:21" x14ac:dyDescent="0.25">
      <c r="U446" s="111"/>
    </row>
    <row r="447" spans="21:21" x14ac:dyDescent="0.25">
      <c r="U447" s="111"/>
    </row>
    <row r="448" spans="21:21" x14ac:dyDescent="0.25">
      <c r="U448" s="111"/>
    </row>
    <row r="449" spans="21:21" x14ac:dyDescent="0.25">
      <c r="U449" s="111"/>
    </row>
    <row r="450" spans="21:21" x14ac:dyDescent="0.25">
      <c r="U450" s="111"/>
    </row>
    <row r="451" spans="21:21" x14ac:dyDescent="0.25">
      <c r="U451" s="111"/>
    </row>
    <row r="452" spans="21:21" x14ac:dyDescent="0.25">
      <c r="U452" s="111"/>
    </row>
    <row r="453" spans="21:21" x14ac:dyDescent="0.25">
      <c r="U453" s="111"/>
    </row>
    <row r="454" spans="21:21" x14ac:dyDescent="0.25">
      <c r="U454" s="111"/>
    </row>
    <row r="455" spans="21:21" x14ac:dyDescent="0.25">
      <c r="U455" s="111"/>
    </row>
    <row r="456" spans="21:21" x14ac:dyDescent="0.25">
      <c r="U456" s="111"/>
    </row>
    <row r="457" spans="21:21" x14ac:dyDescent="0.25">
      <c r="U457" s="111"/>
    </row>
    <row r="458" spans="21:21" x14ac:dyDescent="0.25">
      <c r="U458" s="111"/>
    </row>
    <row r="459" spans="21:21" x14ac:dyDescent="0.25">
      <c r="U459" s="111"/>
    </row>
    <row r="460" spans="21:21" x14ac:dyDescent="0.25">
      <c r="U460" s="111"/>
    </row>
    <row r="461" spans="21:21" x14ac:dyDescent="0.25">
      <c r="U461" s="111"/>
    </row>
    <row r="462" spans="21:21" x14ac:dyDescent="0.25">
      <c r="U462" s="111"/>
    </row>
    <row r="463" spans="21:21" x14ac:dyDescent="0.25">
      <c r="U463" s="111"/>
    </row>
    <row r="464" spans="21:21" x14ac:dyDescent="0.25">
      <c r="U464" s="111"/>
    </row>
    <row r="465" spans="21:21" x14ac:dyDescent="0.25">
      <c r="U465" s="111"/>
    </row>
    <row r="466" spans="21:21" x14ac:dyDescent="0.25">
      <c r="U466" s="111"/>
    </row>
    <row r="467" spans="21:21" x14ac:dyDescent="0.25">
      <c r="U467" s="111"/>
    </row>
    <row r="468" spans="21:21" x14ac:dyDescent="0.25">
      <c r="U468" s="111"/>
    </row>
    <row r="469" spans="21:21" x14ac:dyDescent="0.25">
      <c r="U469" s="111"/>
    </row>
    <row r="470" spans="21:21" x14ac:dyDescent="0.25">
      <c r="U470" s="111"/>
    </row>
    <row r="471" spans="21:21" x14ac:dyDescent="0.25">
      <c r="U471" s="111"/>
    </row>
    <row r="472" spans="21:21" x14ac:dyDescent="0.25">
      <c r="U472" s="111"/>
    </row>
    <row r="473" spans="21:21" x14ac:dyDescent="0.25">
      <c r="U473" s="111"/>
    </row>
    <row r="474" spans="21:21" x14ac:dyDescent="0.25">
      <c r="U474" s="111"/>
    </row>
    <row r="475" spans="21:21" x14ac:dyDescent="0.25">
      <c r="U475" s="111"/>
    </row>
    <row r="476" spans="21:21" x14ac:dyDescent="0.25">
      <c r="U476" s="111"/>
    </row>
    <row r="477" spans="21:21" x14ac:dyDescent="0.25">
      <c r="U477" s="111"/>
    </row>
    <row r="478" spans="21:21" x14ac:dyDescent="0.25">
      <c r="U478" s="111"/>
    </row>
    <row r="479" spans="21:21" x14ac:dyDescent="0.25">
      <c r="U479" s="111"/>
    </row>
    <row r="480" spans="21:21" x14ac:dyDescent="0.25">
      <c r="U480" s="111"/>
    </row>
    <row r="481" spans="21:21" x14ac:dyDescent="0.25">
      <c r="U481" s="111"/>
    </row>
    <row r="482" spans="21:21" x14ac:dyDescent="0.25">
      <c r="U482" s="111"/>
    </row>
    <row r="483" spans="21:21" x14ac:dyDescent="0.25">
      <c r="U483" s="111"/>
    </row>
    <row r="484" spans="21:21" x14ac:dyDescent="0.25">
      <c r="U484" s="111"/>
    </row>
    <row r="485" spans="21:21" x14ac:dyDescent="0.25">
      <c r="U485" s="111"/>
    </row>
    <row r="486" spans="21:21" x14ac:dyDescent="0.25">
      <c r="U486" s="111"/>
    </row>
    <row r="487" spans="21:21" x14ac:dyDescent="0.25">
      <c r="U487" s="111"/>
    </row>
    <row r="488" spans="21:21" x14ac:dyDescent="0.25">
      <c r="U488" s="111"/>
    </row>
    <row r="489" spans="21:21" x14ac:dyDescent="0.25">
      <c r="U489" s="111"/>
    </row>
    <row r="490" spans="21:21" x14ac:dyDescent="0.25">
      <c r="U490" s="111"/>
    </row>
    <row r="491" spans="21:21" x14ac:dyDescent="0.25">
      <c r="U491" s="111"/>
    </row>
    <row r="492" spans="21:21" x14ac:dyDescent="0.25">
      <c r="U492" s="111"/>
    </row>
    <row r="493" spans="21:21" x14ac:dyDescent="0.25">
      <c r="U493" s="111"/>
    </row>
    <row r="494" spans="21:21" x14ac:dyDescent="0.25">
      <c r="U494" s="111"/>
    </row>
    <row r="495" spans="21:21" x14ac:dyDescent="0.25">
      <c r="U495" s="111"/>
    </row>
    <row r="496" spans="21:21" x14ac:dyDescent="0.25">
      <c r="U496" s="111"/>
    </row>
    <row r="497" spans="21:21" x14ac:dyDescent="0.25">
      <c r="U497" s="111"/>
    </row>
    <row r="498" spans="21:21" x14ac:dyDescent="0.25">
      <c r="U498" s="111"/>
    </row>
    <row r="499" spans="21:21" x14ac:dyDescent="0.25">
      <c r="U499" s="111"/>
    </row>
    <row r="500" spans="21:21" x14ac:dyDescent="0.25">
      <c r="U500" s="111"/>
    </row>
    <row r="501" spans="21:21" x14ac:dyDescent="0.25">
      <c r="U501" s="111"/>
    </row>
    <row r="502" spans="21:21" x14ac:dyDescent="0.25">
      <c r="U502" s="111"/>
    </row>
    <row r="503" spans="21:21" x14ac:dyDescent="0.25">
      <c r="U503" s="111"/>
    </row>
    <row r="504" spans="21:21" x14ac:dyDescent="0.25">
      <c r="U504" s="111"/>
    </row>
    <row r="505" spans="21:21" x14ac:dyDescent="0.25">
      <c r="U505" s="111"/>
    </row>
    <row r="506" spans="21:21" x14ac:dyDescent="0.25">
      <c r="U506" s="111"/>
    </row>
    <row r="507" spans="21:21" x14ac:dyDescent="0.25">
      <c r="U507" s="111"/>
    </row>
    <row r="508" spans="21:21" x14ac:dyDescent="0.25">
      <c r="U508" s="111"/>
    </row>
    <row r="509" spans="21:21" x14ac:dyDescent="0.25">
      <c r="U509" s="111"/>
    </row>
    <row r="510" spans="21:21" x14ac:dyDescent="0.25">
      <c r="U510" s="111"/>
    </row>
    <row r="511" spans="21:21" x14ac:dyDescent="0.25">
      <c r="U511" s="111"/>
    </row>
    <row r="512" spans="21:21" x14ac:dyDescent="0.25">
      <c r="U512" s="111"/>
    </row>
    <row r="513" spans="21:21" x14ac:dyDescent="0.25">
      <c r="U513" s="111"/>
    </row>
    <row r="514" spans="21:21" x14ac:dyDescent="0.25">
      <c r="U514" s="111"/>
    </row>
    <row r="515" spans="21:21" x14ac:dyDescent="0.25">
      <c r="U515" s="111"/>
    </row>
    <row r="516" spans="21:21" x14ac:dyDescent="0.25">
      <c r="U516" s="111"/>
    </row>
    <row r="517" spans="21:21" x14ac:dyDescent="0.25">
      <c r="U517" s="111"/>
    </row>
    <row r="518" spans="21:21" x14ac:dyDescent="0.25">
      <c r="U518" s="111"/>
    </row>
    <row r="519" spans="21:21" x14ac:dyDescent="0.25">
      <c r="U519" s="111"/>
    </row>
    <row r="520" spans="21:21" x14ac:dyDescent="0.25">
      <c r="U520" s="111"/>
    </row>
    <row r="521" spans="21:21" x14ac:dyDescent="0.25">
      <c r="U521" s="111"/>
    </row>
    <row r="522" spans="21:21" x14ac:dyDescent="0.25">
      <c r="U522" s="111"/>
    </row>
    <row r="523" spans="21:21" x14ac:dyDescent="0.25">
      <c r="U523" s="111"/>
    </row>
    <row r="524" spans="21:21" x14ac:dyDescent="0.25">
      <c r="U524" s="111"/>
    </row>
    <row r="525" spans="21:21" x14ac:dyDescent="0.25">
      <c r="U525" s="111"/>
    </row>
    <row r="526" spans="21:21" x14ac:dyDescent="0.25">
      <c r="U526" s="111"/>
    </row>
    <row r="527" spans="21:21" x14ac:dyDescent="0.25">
      <c r="U527" s="111"/>
    </row>
    <row r="528" spans="21:21" x14ac:dyDescent="0.25">
      <c r="U528" s="111"/>
    </row>
    <row r="529" spans="21:21" x14ac:dyDescent="0.25">
      <c r="U529" s="111"/>
    </row>
    <row r="530" spans="21:21" x14ac:dyDescent="0.25">
      <c r="U530" s="111"/>
    </row>
    <row r="531" spans="21:21" x14ac:dyDescent="0.25">
      <c r="U531" s="111"/>
    </row>
    <row r="532" spans="21:21" x14ac:dyDescent="0.25">
      <c r="U532" s="111"/>
    </row>
    <row r="533" spans="21:21" x14ac:dyDescent="0.25">
      <c r="U533" s="111"/>
    </row>
    <row r="534" spans="21:21" x14ac:dyDescent="0.25">
      <c r="U534" s="111"/>
    </row>
    <row r="535" spans="21:21" x14ac:dyDescent="0.25">
      <c r="U535" s="111"/>
    </row>
    <row r="536" spans="21:21" x14ac:dyDescent="0.25">
      <c r="U536" s="111"/>
    </row>
    <row r="537" spans="21:21" x14ac:dyDescent="0.25">
      <c r="U537" s="111"/>
    </row>
    <row r="538" spans="21:21" x14ac:dyDescent="0.25">
      <c r="U538" s="111"/>
    </row>
    <row r="539" spans="21:21" x14ac:dyDescent="0.25">
      <c r="U539" s="111"/>
    </row>
    <row r="540" spans="21:21" x14ac:dyDescent="0.25">
      <c r="U540" s="111"/>
    </row>
    <row r="541" spans="21:21" x14ac:dyDescent="0.25">
      <c r="U541" s="111"/>
    </row>
    <row r="542" spans="21:21" x14ac:dyDescent="0.25">
      <c r="U542" s="111"/>
    </row>
    <row r="543" spans="21:21" x14ac:dyDescent="0.25">
      <c r="U543" s="111"/>
    </row>
    <row r="544" spans="21:21" x14ac:dyDescent="0.25">
      <c r="U544" s="111"/>
    </row>
    <row r="545" spans="21:21" x14ac:dyDescent="0.25">
      <c r="U545" s="111"/>
    </row>
    <row r="546" spans="21:21" x14ac:dyDescent="0.25">
      <c r="U546" s="111"/>
    </row>
    <row r="547" spans="21:21" x14ac:dyDescent="0.25">
      <c r="U547" s="111"/>
    </row>
    <row r="548" spans="21:21" x14ac:dyDescent="0.25">
      <c r="U548" s="111"/>
    </row>
    <row r="549" spans="21:21" x14ac:dyDescent="0.25">
      <c r="U549" s="111"/>
    </row>
    <row r="550" spans="21:21" x14ac:dyDescent="0.25">
      <c r="U550" s="111"/>
    </row>
    <row r="551" spans="21:21" x14ac:dyDescent="0.25">
      <c r="U551" s="111"/>
    </row>
    <row r="552" spans="21:21" x14ac:dyDescent="0.25">
      <c r="U552" s="111"/>
    </row>
    <row r="553" spans="21:21" x14ac:dyDescent="0.25">
      <c r="U553" s="111"/>
    </row>
    <row r="554" spans="21:21" x14ac:dyDescent="0.25">
      <c r="U554" s="111"/>
    </row>
    <row r="555" spans="21:21" x14ac:dyDescent="0.25">
      <c r="U555" s="111"/>
    </row>
    <row r="556" spans="21:21" x14ac:dyDescent="0.25">
      <c r="U556" s="111"/>
    </row>
    <row r="557" spans="21:21" x14ac:dyDescent="0.25">
      <c r="U557" s="111"/>
    </row>
    <row r="558" spans="21:21" x14ac:dyDescent="0.25">
      <c r="U558" s="111"/>
    </row>
    <row r="559" spans="21:21" x14ac:dyDescent="0.25">
      <c r="U559" s="111"/>
    </row>
    <row r="560" spans="21:21" x14ac:dyDescent="0.25">
      <c r="U560" s="111"/>
    </row>
    <row r="561" spans="21:21" x14ac:dyDescent="0.25">
      <c r="U561" s="111"/>
    </row>
    <row r="562" spans="21:21" x14ac:dyDescent="0.25">
      <c r="U562" s="111"/>
    </row>
    <row r="563" spans="21:21" x14ac:dyDescent="0.25">
      <c r="U563" s="111"/>
    </row>
    <row r="564" spans="21:21" x14ac:dyDescent="0.25">
      <c r="U564" s="111"/>
    </row>
    <row r="565" spans="21:21" x14ac:dyDescent="0.25">
      <c r="U565" s="111"/>
    </row>
    <row r="566" spans="21:21" x14ac:dyDescent="0.25">
      <c r="U566" s="111"/>
    </row>
    <row r="567" spans="21:21" x14ac:dyDescent="0.25">
      <c r="U567" s="111"/>
    </row>
    <row r="568" spans="21:21" x14ac:dyDescent="0.25">
      <c r="U568" s="111"/>
    </row>
    <row r="569" spans="21:21" x14ac:dyDescent="0.25">
      <c r="U569" s="111"/>
    </row>
    <row r="570" spans="21:21" x14ac:dyDescent="0.25">
      <c r="U570" s="111"/>
    </row>
    <row r="571" spans="21:21" x14ac:dyDescent="0.25">
      <c r="U571" s="111"/>
    </row>
    <row r="572" spans="21:21" x14ac:dyDescent="0.25">
      <c r="U572" s="111"/>
    </row>
    <row r="573" spans="21:21" x14ac:dyDescent="0.25">
      <c r="U573" s="111"/>
    </row>
    <row r="574" spans="21:21" x14ac:dyDescent="0.25">
      <c r="U574" s="111"/>
    </row>
    <row r="575" spans="21:21" x14ac:dyDescent="0.25">
      <c r="U575" s="111"/>
    </row>
    <row r="576" spans="21:21" x14ac:dyDescent="0.25">
      <c r="U576" s="111"/>
    </row>
    <row r="577" spans="21:21" x14ac:dyDescent="0.25">
      <c r="U577" s="111"/>
    </row>
    <row r="578" spans="21:21" x14ac:dyDescent="0.25">
      <c r="U578" s="111"/>
    </row>
    <row r="579" spans="21:21" x14ac:dyDescent="0.25">
      <c r="U579" s="111"/>
    </row>
    <row r="580" spans="21:21" x14ac:dyDescent="0.25">
      <c r="U580" s="111"/>
    </row>
    <row r="581" spans="21:21" x14ac:dyDescent="0.25">
      <c r="U581" s="111"/>
    </row>
    <row r="582" spans="21:21" x14ac:dyDescent="0.25">
      <c r="U582" s="111"/>
    </row>
    <row r="583" spans="21:21" x14ac:dyDescent="0.25">
      <c r="U583" s="111"/>
    </row>
    <row r="584" spans="21:21" x14ac:dyDescent="0.25">
      <c r="U584" s="111"/>
    </row>
    <row r="585" spans="21:21" x14ac:dyDescent="0.25">
      <c r="U585" s="111"/>
    </row>
    <row r="586" spans="21:21" x14ac:dyDescent="0.25">
      <c r="U586" s="111"/>
    </row>
    <row r="587" spans="21:21" x14ac:dyDescent="0.25">
      <c r="U587" s="111"/>
    </row>
    <row r="588" spans="21:21" x14ac:dyDescent="0.25">
      <c r="U588" s="111"/>
    </row>
    <row r="589" spans="21:21" x14ac:dyDescent="0.25">
      <c r="U589" s="111"/>
    </row>
    <row r="590" spans="21:21" x14ac:dyDescent="0.25">
      <c r="U590" s="111"/>
    </row>
    <row r="591" spans="21:21" x14ac:dyDescent="0.25">
      <c r="U591" s="111"/>
    </row>
    <row r="592" spans="21:21" x14ac:dyDescent="0.25">
      <c r="U592" s="111"/>
    </row>
    <row r="593" spans="21:21" x14ac:dyDescent="0.25">
      <c r="U593" s="111"/>
    </row>
    <row r="594" spans="21:21" x14ac:dyDescent="0.25">
      <c r="U594" s="111"/>
    </row>
    <row r="595" spans="21:21" x14ac:dyDescent="0.25">
      <c r="U595" s="111"/>
    </row>
    <row r="596" spans="21:21" x14ac:dyDescent="0.25">
      <c r="U596" s="111"/>
    </row>
    <row r="597" spans="21:21" x14ac:dyDescent="0.25">
      <c r="U597" s="111"/>
    </row>
    <row r="598" spans="21:21" x14ac:dyDescent="0.25">
      <c r="U598" s="111"/>
    </row>
    <row r="599" spans="21:21" x14ac:dyDescent="0.25">
      <c r="U599" s="111"/>
    </row>
    <row r="600" spans="21:21" x14ac:dyDescent="0.25">
      <c r="U600" s="111"/>
    </row>
    <row r="601" spans="21:21" x14ac:dyDescent="0.25">
      <c r="U601" s="111"/>
    </row>
    <row r="602" spans="21:21" x14ac:dyDescent="0.25">
      <c r="U602" s="111"/>
    </row>
    <row r="603" spans="21:21" x14ac:dyDescent="0.25">
      <c r="U603" s="111"/>
    </row>
    <row r="604" spans="21:21" x14ac:dyDescent="0.25">
      <c r="U604" s="111"/>
    </row>
    <row r="605" spans="21:21" x14ac:dyDescent="0.25">
      <c r="U605" s="111"/>
    </row>
    <row r="606" spans="21:21" x14ac:dyDescent="0.25">
      <c r="U606" s="111"/>
    </row>
    <row r="607" spans="21:21" x14ac:dyDescent="0.25">
      <c r="U607" s="111"/>
    </row>
    <row r="608" spans="21:21" x14ac:dyDescent="0.25">
      <c r="U608" s="111"/>
    </row>
    <row r="609" spans="21:21" x14ac:dyDescent="0.25">
      <c r="U609" s="111"/>
    </row>
    <row r="610" spans="21:21" x14ac:dyDescent="0.25">
      <c r="U610" s="111"/>
    </row>
    <row r="611" spans="21:21" x14ac:dyDescent="0.25">
      <c r="U611" s="111"/>
    </row>
    <row r="612" spans="21:21" x14ac:dyDescent="0.25">
      <c r="U612" s="111"/>
    </row>
    <row r="613" spans="21:21" x14ac:dyDescent="0.25">
      <c r="U613" s="111"/>
    </row>
    <row r="614" spans="21:21" x14ac:dyDescent="0.25">
      <c r="U614" s="111"/>
    </row>
    <row r="615" spans="21:21" x14ac:dyDescent="0.25">
      <c r="U615" s="111"/>
    </row>
    <row r="616" spans="21:21" x14ac:dyDescent="0.25">
      <c r="U616" s="111"/>
    </row>
    <row r="617" spans="21:21" x14ac:dyDescent="0.25">
      <c r="U617" s="111"/>
    </row>
    <row r="618" spans="21:21" x14ac:dyDescent="0.25">
      <c r="U618" s="111"/>
    </row>
    <row r="619" spans="21:21" x14ac:dyDescent="0.25">
      <c r="U619" s="111"/>
    </row>
    <row r="620" spans="21:21" x14ac:dyDescent="0.25">
      <c r="U620" s="111"/>
    </row>
    <row r="621" spans="21:21" x14ac:dyDescent="0.25">
      <c r="U621" s="111"/>
    </row>
    <row r="622" spans="21:21" x14ac:dyDescent="0.25">
      <c r="U622" s="111"/>
    </row>
    <row r="623" spans="21:21" x14ac:dyDescent="0.25">
      <c r="U623" s="111"/>
    </row>
    <row r="624" spans="21:21" x14ac:dyDescent="0.25">
      <c r="U624" s="111"/>
    </row>
    <row r="625" spans="21:21" x14ac:dyDescent="0.25">
      <c r="U625" s="111"/>
    </row>
    <row r="626" spans="21:21" x14ac:dyDescent="0.25">
      <c r="U626" s="111"/>
    </row>
    <row r="627" spans="21:21" x14ac:dyDescent="0.25">
      <c r="U627" s="111"/>
    </row>
    <row r="628" spans="21:21" x14ac:dyDescent="0.25">
      <c r="U628" s="111"/>
    </row>
    <row r="629" spans="21:21" x14ac:dyDescent="0.25">
      <c r="U629" s="111"/>
    </row>
    <row r="630" spans="21:21" x14ac:dyDescent="0.25">
      <c r="U630" s="111"/>
    </row>
    <row r="631" spans="21:21" x14ac:dyDescent="0.25">
      <c r="U631" s="111"/>
    </row>
    <row r="632" spans="21:21" x14ac:dyDescent="0.25">
      <c r="U632" s="111"/>
    </row>
    <row r="633" spans="21:21" x14ac:dyDescent="0.25">
      <c r="U633" s="111"/>
    </row>
    <row r="634" spans="21:21" x14ac:dyDescent="0.25">
      <c r="U634" s="111"/>
    </row>
    <row r="635" spans="21:21" x14ac:dyDescent="0.25">
      <c r="U635" s="111"/>
    </row>
    <row r="636" spans="21:21" x14ac:dyDescent="0.25">
      <c r="U636" s="111"/>
    </row>
    <row r="637" spans="21:21" x14ac:dyDescent="0.25">
      <c r="U637" s="111"/>
    </row>
    <row r="638" spans="21:21" x14ac:dyDescent="0.25">
      <c r="U638" s="111"/>
    </row>
    <row r="639" spans="21:21" x14ac:dyDescent="0.25">
      <c r="U639" s="111"/>
    </row>
    <row r="640" spans="21:21" x14ac:dyDescent="0.25">
      <c r="U640" s="111"/>
    </row>
    <row r="641" spans="21:21" x14ac:dyDescent="0.25">
      <c r="U641" s="111"/>
    </row>
    <row r="642" spans="21:21" x14ac:dyDescent="0.25">
      <c r="U642" s="111"/>
    </row>
    <row r="643" spans="21:21" x14ac:dyDescent="0.25">
      <c r="U643" s="111"/>
    </row>
    <row r="644" spans="21:21" x14ac:dyDescent="0.25">
      <c r="U644" s="111"/>
    </row>
    <row r="645" spans="21:21" x14ac:dyDescent="0.25">
      <c r="U645" s="111"/>
    </row>
    <row r="646" spans="21:21" x14ac:dyDescent="0.25">
      <c r="U646" s="111"/>
    </row>
    <row r="647" spans="21:21" x14ac:dyDescent="0.25">
      <c r="U647" s="111"/>
    </row>
    <row r="648" spans="21:21" x14ac:dyDescent="0.25">
      <c r="U648" s="111"/>
    </row>
    <row r="649" spans="21:21" x14ac:dyDescent="0.25">
      <c r="U649" s="111"/>
    </row>
    <row r="650" spans="21:21" x14ac:dyDescent="0.25">
      <c r="U650" s="111"/>
    </row>
    <row r="651" spans="21:21" x14ac:dyDescent="0.25">
      <c r="U651" s="111"/>
    </row>
    <row r="652" spans="21:21" x14ac:dyDescent="0.25">
      <c r="U652" s="111"/>
    </row>
    <row r="653" spans="21:21" x14ac:dyDescent="0.25">
      <c r="U653" s="111"/>
    </row>
    <row r="654" spans="21:21" x14ac:dyDescent="0.25">
      <c r="U654" s="111"/>
    </row>
    <row r="655" spans="21:21" x14ac:dyDescent="0.25">
      <c r="U655" s="111"/>
    </row>
    <row r="656" spans="21:21" x14ac:dyDescent="0.25">
      <c r="U656" s="111"/>
    </row>
    <row r="657" spans="21:21" x14ac:dyDescent="0.25">
      <c r="U657" s="111"/>
    </row>
    <row r="658" spans="21:21" x14ac:dyDescent="0.25">
      <c r="U658" s="111"/>
    </row>
    <row r="659" spans="21:21" x14ac:dyDescent="0.25">
      <c r="U659" s="111"/>
    </row>
    <row r="660" spans="21:21" x14ac:dyDescent="0.25">
      <c r="U660" s="111"/>
    </row>
    <row r="661" spans="21:21" x14ac:dyDescent="0.25">
      <c r="U661" s="111"/>
    </row>
    <row r="662" spans="21:21" x14ac:dyDescent="0.25">
      <c r="U662" s="111"/>
    </row>
    <row r="663" spans="21:21" x14ac:dyDescent="0.25">
      <c r="U663" s="111"/>
    </row>
    <row r="664" spans="21:21" x14ac:dyDescent="0.25">
      <c r="U664" s="111"/>
    </row>
    <row r="665" spans="21:21" x14ac:dyDescent="0.25">
      <c r="U665" s="111"/>
    </row>
    <row r="666" spans="21:21" x14ac:dyDescent="0.25">
      <c r="U666" s="111"/>
    </row>
    <row r="667" spans="21:21" x14ac:dyDescent="0.25">
      <c r="U667" s="111"/>
    </row>
    <row r="668" spans="21:21" x14ac:dyDescent="0.25">
      <c r="U668" s="111"/>
    </row>
    <row r="669" spans="21:21" x14ac:dyDescent="0.25">
      <c r="U669" s="111"/>
    </row>
    <row r="670" spans="21:21" x14ac:dyDescent="0.25">
      <c r="U670" s="111"/>
    </row>
    <row r="671" spans="21:21" x14ac:dyDescent="0.25">
      <c r="U671" s="111"/>
    </row>
    <row r="672" spans="21:21" x14ac:dyDescent="0.25">
      <c r="U672" s="111"/>
    </row>
    <row r="673" spans="21:21" x14ac:dyDescent="0.25">
      <c r="U673" s="111"/>
    </row>
    <row r="674" spans="21:21" x14ac:dyDescent="0.25">
      <c r="U674" s="111"/>
    </row>
    <row r="675" spans="21:21" x14ac:dyDescent="0.25">
      <c r="U675" s="111"/>
    </row>
    <row r="676" spans="21:21" x14ac:dyDescent="0.25">
      <c r="U676" s="111"/>
    </row>
    <row r="677" spans="21:21" x14ac:dyDescent="0.25">
      <c r="U677" s="111"/>
    </row>
    <row r="678" spans="21:21" x14ac:dyDescent="0.25">
      <c r="U678" s="111"/>
    </row>
    <row r="679" spans="21:21" x14ac:dyDescent="0.25">
      <c r="U679" s="111"/>
    </row>
    <row r="680" spans="21:21" x14ac:dyDescent="0.25">
      <c r="U680" s="111"/>
    </row>
    <row r="681" spans="21:21" x14ac:dyDescent="0.25">
      <c r="U681" s="111"/>
    </row>
    <row r="682" spans="21:21" x14ac:dyDescent="0.25">
      <c r="U682" s="111"/>
    </row>
    <row r="683" spans="21:21" x14ac:dyDescent="0.25">
      <c r="U683" s="111"/>
    </row>
    <row r="684" spans="21:21" x14ac:dyDescent="0.25">
      <c r="U684" s="111"/>
    </row>
    <row r="685" spans="21:21" x14ac:dyDescent="0.25">
      <c r="U685" s="111"/>
    </row>
    <row r="686" spans="21:21" x14ac:dyDescent="0.25">
      <c r="U686" s="111"/>
    </row>
    <row r="687" spans="21:21" x14ac:dyDescent="0.25">
      <c r="U687" s="111"/>
    </row>
    <row r="688" spans="21:21" x14ac:dyDescent="0.25">
      <c r="U688" s="111"/>
    </row>
    <row r="689" spans="21:21" x14ac:dyDescent="0.25">
      <c r="U689" s="111"/>
    </row>
    <row r="690" spans="21:21" x14ac:dyDescent="0.25">
      <c r="U690" s="111"/>
    </row>
    <row r="691" spans="21:21" x14ac:dyDescent="0.25">
      <c r="U691" s="111"/>
    </row>
    <row r="692" spans="21:21" x14ac:dyDescent="0.25">
      <c r="U692" s="111"/>
    </row>
    <row r="693" spans="21:21" x14ac:dyDescent="0.25">
      <c r="U693" s="111"/>
    </row>
    <row r="694" spans="21:21" x14ac:dyDescent="0.25">
      <c r="U694" s="111"/>
    </row>
    <row r="695" spans="21:21" x14ac:dyDescent="0.25">
      <c r="U695" s="111"/>
    </row>
    <row r="696" spans="21:21" x14ac:dyDescent="0.25">
      <c r="U696" s="111"/>
    </row>
    <row r="697" spans="21:21" x14ac:dyDescent="0.25">
      <c r="U697" s="111"/>
    </row>
    <row r="698" spans="21:21" x14ac:dyDescent="0.25">
      <c r="U698" s="111"/>
    </row>
    <row r="699" spans="21:21" x14ac:dyDescent="0.25">
      <c r="U699" s="111"/>
    </row>
    <row r="700" spans="21:21" x14ac:dyDescent="0.25">
      <c r="U700" s="111"/>
    </row>
    <row r="701" spans="21:21" x14ac:dyDescent="0.25">
      <c r="U701" s="111"/>
    </row>
    <row r="702" spans="21:21" x14ac:dyDescent="0.25">
      <c r="U702" s="111"/>
    </row>
    <row r="703" spans="21:21" x14ac:dyDescent="0.25">
      <c r="U703" s="111"/>
    </row>
    <row r="704" spans="21:21" x14ac:dyDescent="0.25">
      <c r="U704" s="111"/>
    </row>
    <row r="705" spans="21:21" x14ac:dyDescent="0.25">
      <c r="U705" s="111"/>
    </row>
    <row r="706" spans="21:21" x14ac:dyDescent="0.25">
      <c r="U706" s="111"/>
    </row>
    <row r="707" spans="21:21" x14ac:dyDescent="0.25">
      <c r="U707" s="111"/>
    </row>
    <row r="708" spans="21:21" x14ac:dyDescent="0.25">
      <c r="U708" s="111"/>
    </row>
    <row r="709" spans="21:21" x14ac:dyDescent="0.25">
      <c r="U709" s="111"/>
    </row>
    <row r="710" spans="21:21" x14ac:dyDescent="0.25">
      <c r="U710" s="111"/>
    </row>
    <row r="711" spans="21:21" x14ac:dyDescent="0.25">
      <c r="U711" s="111"/>
    </row>
    <row r="712" spans="21:21" x14ac:dyDescent="0.25">
      <c r="U712" s="111"/>
    </row>
    <row r="713" spans="21:21" x14ac:dyDescent="0.25">
      <c r="U713" s="111"/>
    </row>
    <row r="714" spans="21:21" x14ac:dyDescent="0.25">
      <c r="U714" s="111"/>
    </row>
    <row r="715" spans="21:21" x14ac:dyDescent="0.25">
      <c r="U715" s="111"/>
    </row>
    <row r="716" spans="21:21" x14ac:dyDescent="0.25">
      <c r="U716" s="111"/>
    </row>
    <row r="717" spans="21:21" x14ac:dyDescent="0.25">
      <c r="U717" s="111"/>
    </row>
    <row r="718" spans="21:21" x14ac:dyDescent="0.25">
      <c r="U718" s="111"/>
    </row>
    <row r="719" spans="21:21" x14ac:dyDescent="0.25">
      <c r="U719" s="111"/>
    </row>
    <row r="720" spans="21:21" x14ac:dyDescent="0.25">
      <c r="U720" s="111"/>
    </row>
    <row r="721" spans="21:21" x14ac:dyDescent="0.25">
      <c r="U721" s="111"/>
    </row>
    <row r="722" spans="21:21" x14ac:dyDescent="0.25">
      <c r="U722" s="111"/>
    </row>
    <row r="723" spans="21:21" x14ac:dyDescent="0.25">
      <c r="U723" s="111"/>
    </row>
    <row r="724" spans="21:21" x14ac:dyDescent="0.25">
      <c r="U724" s="111"/>
    </row>
    <row r="725" spans="21:21" x14ac:dyDescent="0.25">
      <c r="U725" s="111"/>
    </row>
    <row r="726" spans="21:21" x14ac:dyDescent="0.25">
      <c r="U726" s="111"/>
    </row>
    <row r="727" spans="21:21" x14ac:dyDescent="0.25">
      <c r="U727" s="111"/>
    </row>
    <row r="728" spans="21:21" x14ac:dyDescent="0.25">
      <c r="U728" s="111"/>
    </row>
    <row r="729" spans="21:21" x14ac:dyDescent="0.25">
      <c r="U729" s="111"/>
    </row>
    <row r="730" spans="21:21" x14ac:dyDescent="0.25">
      <c r="U730" s="111"/>
    </row>
    <row r="731" spans="21:21" x14ac:dyDescent="0.25">
      <c r="U731" s="111"/>
    </row>
    <row r="732" spans="21:21" x14ac:dyDescent="0.25">
      <c r="U732" s="111"/>
    </row>
    <row r="733" spans="21:21" x14ac:dyDescent="0.25">
      <c r="U733" s="111"/>
    </row>
    <row r="734" spans="21:21" x14ac:dyDescent="0.25">
      <c r="U734" s="111"/>
    </row>
    <row r="735" spans="21:21" x14ac:dyDescent="0.25">
      <c r="U735" s="111"/>
    </row>
    <row r="736" spans="21:21" x14ac:dyDescent="0.25">
      <c r="U736" s="111"/>
    </row>
    <row r="737" spans="21:21" x14ac:dyDescent="0.25">
      <c r="U737" s="111"/>
    </row>
    <row r="738" spans="21:21" x14ac:dyDescent="0.25">
      <c r="U738" s="111"/>
    </row>
    <row r="739" spans="21:21" x14ac:dyDescent="0.25">
      <c r="U739" s="111"/>
    </row>
    <row r="740" spans="21:21" x14ac:dyDescent="0.25">
      <c r="U740" s="111"/>
    </row>
    <row r="741" spans="21:21" x14ac:dyDescent="0.25">
      <c r="U741" s="111"/>
    </row>
    <row r="742" spans="21:21" x14ac:dyDescent="0.25">
      <c r="U742" s="111"/>
    </row>
    <row r="743" spans="21:21" x14ac:dyDescent="0.25">
      <c r="U743" s="111"/>
    </row>
    <row r="744" spans="21:21" x14ac:dyDescent="0.25">
      <c r="U744" s="111"/>
    </row>
    <row r="745" spans="21:21" x14ac:dyDescent="0.25">
      <c r="U745" s="111"/>
    </row>
    <row r="746" spans="21:21" x14ac:dyDescent="0.25">
      <c r="U746" s="111"/>
    </row>
    <row r="747" spans="21:21" x14ac:dyDescent="0.25">
      <c r="U747" s="111"/>
    </row>
    <row r="748" spans="21:21" x14ac:dyDescent="0.25">
      <c r="U748" s="111"/>
    </row>
    <row r="749" spans="21:21" x14ac:dyDescent="0.25">
      <c r="U749" s="111"/>
    </row>
    <row r="750" spans="21:21" x14ac:dyDescent="0.25">
      <c r="U750" s="111"/>
    </row>
    <row r="751" spans="21:21" x14ac:dyDescent="0.25">
      <c r="U751" s="111"/>
    </row>
    <row r="752" spans="21:21" x14ac:dyDescent="0.25">
      <c r="U752" s="111"/>
    </row>
    <row r="753" spans="21:21" x14ac:dyDescent="0.25">
      <c r="U753" s="111"/>
    </row>
    <row r="754" spans="21:21" x14ac:dyDescent="0.25">
      <c r="U754" s="111"/>
    </row>
    <row r="755" spans="21:21" x14ac:dyDescent="0.25">
      <c r="U755" s="111"/>
    </row>
    <row r="756" spans="21:21" x14ac:dyDescent="0.25">
      <c r="U756" s="111"/>
    </row>
    <row r="757" spans="21:21" x14ac:dyDescent="0.25">
      <c r="U757" s="111"/>
    </row>
    <row r="758" spans="21:21" x14ac:dyDescent="0.25">
      <c r="U758" s="111"/>
    </row>
    <row r="759" spans="21:21" x14ac:dyDescent="0.25">
      <c r="U759" s="111"/>
    </row>
    <row r="760" spans="21:21" x14ac:dyDescent="0.25">
      <c r="U760" s="111"/>
    </row>
    <row r="761" spans="21:21" x14ac:dyDescent="0.25">
      <c r="U761" s="111"/>
    </row>
    <row r="762" spans="21:21" x14ac:dyDescent="0.25">
      <c r="U762" s="111"/>
    </row>
    <row r="763" spans="21:21" x14ac:dyDescent="0.25">
      <c r="U763" s="111"/>
    </row>
    <row r="764" spans="21:21" x14ac:dyDescent="0.25">
      <c r="U764" s="111"/>
    </row>
    <row r="765" spans="21:21" x14ac:dyDescent="0.25">
      <c r="U765" s="111"/>
    </row>
    <row r="766" spans="21:21" x14ac:dyDescent="0.25">
      <c r="U766" s="111"/>
    </row>
    <row r="767" spans="21:21" x14ac:dyDescent="0.25">
      <c r="U767" s="111"/>
    </row>
    <row r="768" spans="21:21" x14ac:dyDescent="0.25">
      <c r="U768" s="111"/>
    </row>
    <row r="769" spans="21:21" x14ac:dyDescent="0.25">
      <c r="U769" s="111"/>
    </row>
    <row r="770" spans="21:21" x14ac:dyDescent="0.25">
      <c r="U770" s="111"/>
    </row>
    <row r="771" spans="21:21" x14ac:dyDescent="0.25">
      <c r="U771" s="111"/>
    </row>
    <row r="772" spans="21:21" x14ac:dyDescent="0.25">
      <c r="U772" s="111"/>
    </row>
    <row r="773" spans="21:21" x14ac:dyDescent="0.25">
      <c r="U773" s="111"/>
    </row>
    <row r="774" spans="21:21" x14ac:dyDescent="0.25">
      <c r="U774" s="111"/>
    </row>
    <row r="775" spans="21:21" x14ac:dyDescent="0.25">
      <c r="U775" s="111"/>
    </row>
    <row r="776" spans="21:21" x14ac:dyDescent="0.25">
      <c r="U776" s="111"/>
    </row>
    <row r="777" spans="21:21" x14ac:dyDescent="0.25">
      <c r="U777" s="111"/>
    </row>
    <row r="778" spans="21:21" x14ac:dyDescent="0.25">
      <c r="U778" s="111"/>
    </row>
    <row r="779" spans="21:21" x14ac:dyDescent="0.25">
      <c r="U779" s="111"/>
    </row>
    <row r="780" spans="21:21" x14ac:dyDescent="0.25">
      <c r="U780" s="111"/>
    </row>
    <row r="781" spans="21:21" x14ac:dyDescent="0.25">
      <c r="U781" s="111"/>
    </row>
    <row r="782" spans="21:21" x14ac:dyDescent="0.25">
      <c r="U782" s="111"/>
    </row>
    <row r="783" spans="21:21" x14ac:dyDescent="0.25">
      <c r="U783" s="111"/>
    </row>
    <row r="784" spans="21:21" x14ac:dyDescent="0.25">
      <c r="U784" s="111"/>
    </row>
    <row r="785" spans="21:21" x14ac:dyDescent="0.25">
      <c r="U785" s="111"/>
    </row>
    <row r="786" spans="21:21" x14ac:dyDescent="0.25">
      <c r="U786" s="111"/>
    </row>
    <row r="787" spans="21:21" x14ac:dyDescent="0.25">
      <c r="U787" s="111"/>
    </row>
    <row r="788" spans="21:21" x14ac:dyDescent="0.25">
      <c r="U788" s="111"/>
    </row>
    <row r="789" spans="21:21" x14ac:dyDescent="0.25">
      <c r="U789" s="111"/>
    </row>
    <row r="790" spans="21:21" x14ac:dyDescent="0.25">
      <c r="U790" s="111"/>
    </row>
    <row r="791" spans="21:21" x14ac:dyDescent="0.25">
      <c r="U791" s="111"/>
    </row>
    <row r="792" spans="21:21" x14ac:dyDescent="0.25">
      <c r="U792" s="111"/>
    </row>
    <row r="793" spans="21:21" x14ac:dyDescent="0.25">
      <c r="U793" s="111"/>
    </row>
    <row r="794" spans="21:21" x14ac:dyDescent="0.25">
      <c r="U794" s="111"/>
    </row>
    <row r="795" spans="21:21" x14ac:dyDescent="0.25">
      <c r="U795" s="111"/>
    </row>
    <row r="796" spans="21:21" x14ac:dyDescent="0.25">
      <c r="U796" s="111"/>
    </row>
    <row r="797" spans="21:21" x14ac:dyDescent="0.25">
      <c r="U797" s="111"/>
    </row>
    <row r="798" spans="21:21" x14ac:dyDescent="0.25">
      <c r="U798" s="111"/>
    </row>
    <row r="799" spans="21:21" x14ac:dyDescent="0.25">
      <c r="U799" s="111"/>
    </row>
    <row r="800" spans="21:21" x14ac:dyDescent="0.25">
      <c r="U800" s="111"/>
    </row>
    <row r="801" spans="21:21" x14ac:dyDescent="0.25">
      <c r="U801" s="111"/>
    </row>
    <row r="802" spans="21:21" x14ac:dyDescent="0.25">
      <c r="U802" s="111"/>
    </row>
    <row r="803" spans="21:21" x14ac:dyDescent="0.25">
      <c r="U803" s="111"/>
    </row>
    <row r="804" spans="21:21" x14ac:dyDescent="0.25">
      <c r="U804" s="111"/>
    </row>
    <row r="805" spans="21:21" x14ac:dyDescent="0.25">
      <c r="U805" s="111"/>
    </row>
    <row r="806" spans="21:21" x14ac:dyDescent="0.25">
      <c r="U806" s="111"/>
    </row>
    <row r="807" spans="21:21" x14ac:dyDescent="0.25">
      <c r="U807" s="111"/>
    </row>
    <row r="808" spans="21:21" x14ac:dyDescent="0.25">
      <c r="U808" s="111"/>
    </row>
    <row r="809" spans="21:21" x14ac:dyDescent="0.25">
      <c r="U809" s="111"/>
    </row>
    <row r="810" spans="21:21" x14ac:dyDescent="0.25">
      <c r="U810" s="111"/>
    </row>
    <row r="811" spans="21:21" x14ac:dyDescent="0.25">
      <c r="U811" s="111"/>
    </row>
    <row r="812" spans="21:21" x14ac:dyDescent="0.25">
      <c r="U812" s="111"/>
    </row>
    <row r="813" spans="21:21" x14ac:dyDescent="0.25">
      <c r="U813" s="111"/>
    </row>
    <row r="814" spans="21:21" x14ac:dyDescent="0.25">
      <c r="U814" s="111"/>
    </row>
    <row r="815" spans="21:21" x14ac:dyDescent="0.25">
      <c r="U815" s="111"/>
    </row>
    <row r="816" spans="21:21" x14ac:dyDescent="0.25">
      <c r="U816" s="111"/>
    </row>
    <row r="817" spans="21:21" x14ac:dyDescent="0.25">
      <c r="U817" s="111"/>
    </row>
    <row r="818" spans="21:21" x14ac:dyDescent="0.25">
      <c r="U818" s="111"/>
    </row>
    <row r="819" spans="21:21" x14ac:dyDescent="0.25">
      <c r="U819" s="111"/>
    </row>
    <row r="820" spans="21:21" x14ac:dyDescent="0.25">
      <c r="U820" s="111"/>
    </row>
    <row r="821" spans="21:21" x14ac:dyDescent="0.25">
      <c r="U821" s="111"/>
    </row>
    <row r="822" spans="21:21" x14ac:dyDescent="0.25">
      <c r="U822" s="111"/>
    </row>
    <row r="823" spans="21:21" x14ac:dyDescent="0.25">
      <c r="U823" s="111"/>
    </row>
    <row r="824" spans="21:21" x14ac:dyDescent="0.25">
      <c r="U824" s="111"/>
    </row>
    <row r="825" spans="21:21" x14ac:dyDescent="0.25">
      <c r="U825" s="111"/>
    </row>
    <row r="826" spans="21:21" x14ac:dyDescent="0.25">
      <c r="U826" s="111"/>
    </row>
    <row r="827" spans="21:21" x14ac:dyDescent="0.25">
      <c r="U827" s="111"/>
    </row>
    <row r="828" spans="21:21" x14ac:dyDescent="0.25">
      <c r="U828" s="111"/>
    </row>
    <row r="829" spans="21:21" x14ac:dyDescent="0.25">
      <c r="U829" s="111"/>
    </row>
    <row r="830" spans="21:21" x14ac:dyDescent="0.25">
      <c r="U830" s="111"/>
    </row>
    <row r="831" spans="21:21" x14ac:dyDescent="0.25">
      <c r="U831" s="111"/>
    </row>
    <row r="832" spans="21:21" x14ac:dyDescent="0.25">
      <c r="U832" s="111"/>
    </row>
    <row r="833" spans="21:21" x14ac:dyDescent="0.25">
      <c r="U833" s="111"/>
    </row>
    <row r="911" spans="21:21" x14ac:dyDescent="0.25">
      <c r="U911" s="111"/>
    </row>
    <row r="912" spans="21:21" x14ac:dyDescent="0.25">
      <c r="U912" s="111"/>
    </row>
    <row r="913" spans="21:21" x14ac:dyDescent="0.25">
      <c r="U913" s="111"/>
    </row>
    <row r="914" spans="21:21" x14ac:dyDescent="0.25">
      <c r="U914" s="111"/>
    </row>
    <row r="915" spans="21:21" x14ac:dyDescent="0.25">
      <c r="U915" s="111"/>
    </row>
    <row r="916" spans="21:21" x14ac:dyDescent="0.25">
      <c r="U916" s="111"/>
    </row>
    <row r="917" spans="21:21" x14ac:dyDescent="0.25">
      <c r="U917" s="111"/>
    </row>
    <row r="918" spans="21:21" x14ac:dyDescent="0.25">
      <c r="U918" s="111"/>
    </row>
    <row r="919" spans="21:21" x14ac:dyDescent="0.25">
      <c r="U919" s="111"/>
    </row>
    <row r="920" spans="21:21" x14ac:dyDescent="0.25">
      <c r="U920" s="111"/>
    </row>
    <row r="921" spans="21:21" x14ac:dyDescent="0.25">
      <c r="U921" s="111"/>
    </row>
    <row r="922" spans="21:21" x14ac:dyDescent="0.25">
      <c r="U922" s="111"/>
    </row>
    <row r="923" spans="21:21" x14ac:dyDescent="0.25">
      <c r="U923" s="111"/>
    </row>
    <row r="924" spans="21:21" x14ac:dyDescent="0.25">
      <c r="U924" s="111"/>
    </row>
    <row r="925" spans="21:21" x14ac:dyDescent="0.25">
      <c r="U925" s="111"/>
    </row>
    <row r="926" spans="21:21" x14ac:dyDescent="0.25">
      <c r="U926" s="111"/>
    </row>
    <row r="927" spans="21:21" x14ac:dyDescent="0.25">
      <c r="U927" s="111"/>
    </row>
    <row r="928" spans="21:21" x14ac:dyDescent="0.25">
      <c r="U928" s="111"/>
    </row>
    <row r="929" spans="21:21" x14ac:dyDescent="0.25">
      <c r="U929" s="111"/>
    </row>
    <row r="930" spans="21:21" x14ac:dyDescent="0.25">
      <c r="U930" s="111"/>
    </row>
    <row r="931" spans="21:21" x14ac:dyDescent="0.25">
      <c r="U931" s="111"/>
    </row>
    <row r="932" spans="21:21" x14ac:dyDescent="0.25">
      <c r="U932" s="111"/>
    </row>
    <row r="933" spans="21:21" x14ac:dyDescent="0.25">
      <c r="U933" s="111"/>
    </row>
    <row r="934" spans="21:21" x14ac:dyDescent="0.25">
      <c r="U934" s="111"/>
    </row>
    <row r="935" spans="21:21" x14ac:dyDescent="0.25">
      <c r="U935" s="111"/>
    </row>
    <row r="936" spans="21:21" x14ac:dyDescent="0.25">
      <c r="U936" s="111"/>
    </row>
    <row r="937" spans="21:21" x14ac:dyDescent="0.25">
      <c r="U937" s="111"/>
    </row>
    <row r="938" spans="21:21" x14ac:dyDescent="0.25">
      <c r="U938" s="111"/>
    </row>
    <row r="939" spans="21:21" x14ac:dyDescent="0.25">
      <c r="U939" s="111"/>
    </row>
    <row r="940" spans="21:21" x14ac:dyDescent="0.25">
      <c r="U940" s="111"/>
    </row>
    <row r="941" spans="21:21" x14ac:dyDescent="0.25">
      <c r="U941" s="111"/>
    </row>
    <row r="942" spans="21:21" x14ac:dyDescent="0.25">
      <c r="U942" s="111"/>
    </row>
    <row r="943" spans="21:21" x14ac:dyDescent="0.25">
      <c r="U943" s="111"/>
    </row>
    <row r="944" spans="21:21" x14ac:dyDescent="0.25">
      <c r="U944" s="111"/>
    </row>
    <row r="945" spans="21:21" x14ac:dyDescent="0.25">
      <c r="U945" s="111"/>
    </row>
    <row r="946" spans="21:21" x14ac:dyDescent="0.25">
      <c r="U946" s="111"/>
    </row>
    <row r="947" spans="21:21" x14ac:dyDescent="0.25">
      <c r="U947" s="111"/>
    </row>
    <row r="948" spans="21:21" x14ac:dyDescent="0.25">
      <c r="U948" s="111"/>
    </row>
    <row r="949" spans="21:21" x14ac:dyDescent="0.25">
      <c r="U949" s="111"/>
    </row>
    <row r="950" spans="21:21" x14ac:dyDescent="0.25">
      <c r="U950" s="111"/>
    </row>
    <row r="951" spans="21:21" x14ac:dyDescent="0.25">
      <c r="U951" s="111"/>
    </row>
    <row r="952" spans="21:21" x14ac:dyDescent="0.25">
      <c r="U952" s="111"/>
    </row>
    <row r="953" spans="21:21" x14ac:dyDescent="0.25">
      <c r="U953" s="111"/>
    </row>
    <row r="954" spans="21:21" x14ac:dyDescent="0.25">
      <c r="U954" s="111"/>
    </row>
    <row r="955" spans="21:21" x14ac:dyDescent="0.25">
      <c r="U955" s="111"/>
    </row>
    <row r="956" spans="21:21" x14ac:dyDescent="0.25">
      <c r="U956" s="111"/>
    </row>
    <row r="957" spans="21:21" x14ac:dyDescent="0.25">
      <c r="U957" s="111"/>
    </row>
    <row r="958" spans="21:21" x14ac:dyDescent="0.25">
      <c r="U958" s="111"/>
    </row>
    <row r="959" spans="21:21" x14ac:dyDescent="0.25">
      <c r="U959" s="111"/>
    </row>
    <row r="960" spans="21:21" x14ac:dyDescent="0.25">
      <c r="U960" s="111"/>
    </row>
    <row r="961" spans="21:21" x14ac:dyDescent="0.25">
      <c r="U961" s="111"/>
    </row>
    <row r="962" spans="21:21" x14ac:dyDescent="0.25">
      <c r="U962" s="111"/>
    </row>
    <row r="963" spans="21:21" x14ac:dyDescent="0.25">
      <c r="U963" s="111"/>
    </row>
    <row r="964" spans="21:21" x14ac:dyDescent="0.25">
      <c r="U964" s="111"/>
    </row>
    <row r="965" spans="21:21" x14ac:dyDescent="0.25">
      <c r="U965" s="111"/>
    </row>
    <row r="966" spans="21:21" x14ac:dyDescent="0.25">
      <c r="U966" s="111"/>
    </row>
    <row r="967" spans="21:21" x14ac:dyDescent="0.25">
      <c r="U967" s="111"/>
    </row>
    <row r="968" spans="21:21" x14ac:dyDescent="0.25">
      <c r="U968" s="111"/>
    </row>
    <row r="969" spans="21:21" x14ac:dyDescent="0.25">
      <c r="U969" s="111"/>
    </row>
    <row r="970" spans="21:21" x14ac:dyDescent="0.25">
      <c r="U970" s="111"/>
    </row>
    <row r="971" spans="21:21" x14ac:dyDescent="0.25">
      <c r="U971" s="111"/>
    </row>
    <row r="972" spans="21:21" x14ac:dyDescent="0.25">
      <c r="U972" s="111"/>
    </row>
    <row r="973" spans="21:21" x14ac:dyDescent="0.25">
      <c r="U973" s="111"/>
    </row>
    <row r="974" spans="21:21" x14ac:dyDescent="0.25">
      <c r="U974" s="111"/>
    </row>
    <row r="975" spans="21:21" x14ac:dyDescent="0.25">
      <c r="U975" s="111"/>
    </row>
    <row r="976" spans="21:21" x14ac:dyDescent="0.25">
      <c r="U976" s="111"/>
    </row>
    <row r="977" spans="21:21" x14ac:dyDescent="0.25">
      <c r="U977" s="111"/>
    </row>
    <row r="978" spans="21:21" x14ac:dyDescent="0.25">
      <c r="U978" s="111"/>
    </row>
    <row r="979" spans="21:21" x14ac:dyDescent="0.25">
      <c r="U979" s="111"/>
    </row>
    <row r="980" spans="21:21" x14ac:dyDescent="0.25">
      <c r="U980" s="111"/>
    </row>
    <row r="981" spans="21:21" x14ac:dyDescent="0.25">
      <c r="U981" s="111"/>
    </row>
    <row r="982" spans="21:21" x14ac:dyDescent="0.25">
      <c r="U982" s="111"/>
    </row>
    <row r="983" spans="21:21" x14ac:dyDescent="0.25">
      <c r="U983" s="111"/>
    </row>
    <row r="984" spans="21:21" x14ac:dyDescent="0.25">
      <c r="U984" s="111"/>
    </row>
    <row r="985" spans="21:21" x14ac:dyDescent="0.25">
      <c r="U985" s="111"/>
    </row>
    <row r="986" spans="21:21" x14ac:dyDescent="0.25">
      <c r="U986" s="111"/>
    </row>
    <row r="987" spans="21:21" x14ac:dyDescent="0.25">
      <c r="U987" s="111"/>
    </row>
    <row r="988" spans="21:21" x14ac:dyDescent="0.25">
      <c r="U988" s="111"/>
    </row>
    <row r="989" spans="21:21" x14ac:dyDescent="0.25">
      <c r="U989" s="111"/>
    </row>
    <row r="990" spans="21:21" x14ac:dyDescent="0.25">
      <c r="U990" s="111"/>
    </row>
    <row r="991" spans="21:21" x14ac:dyDescent="0.25">
      <c r="U991" s="111"/>
    </row>
    <row r="992" spans="21:21" x14ac:dyDescent="0.25">
      <c r="U992" s="111"/>
    </row>
    <row r="993" spans="21:21" x14ac:dyDescent="0.25">
      <c r="U993" s="111"/>
    </row>
    <row r="994" spans="21:21" x14ac:dyDescent="0.25">
      <c r="U994" s="111"/>
    </row>
    <row r="995" spans="21:21" x14ac:dyDescent="0.25">
      <c r="U995" s="111"/>
    </row>
    <row r="996" spans="21:21" x14ac:dyDescent="0.25">
      <c r="U996" s="111"/>
    </row>
    <row r="997" spans="21:21" x14ac:dyDescent="0.25">
      <c r="U997" s="111"/>
    </row>
    <row r="998" spans="21:21" x14ac:dyDescent="0.25">
      <c r="U998" s="111"/>
    </row>
    <row r="999" spans="21:21" x14ac:dyDescent="0.25">
      <c r="U999" s="111"/>
    </row>
    <row r="1000" spans="21:21" x14ac:dyDescent="0.25">
      <c r="U1000" s="111"/>
    </row>
    <row r="1001" spans="21:21" x14ac:dyDescent="0.25">
      <c r="U1001" s="111"/>
    </row>
    <row r="1002" spans="21:21" x14ac:dyDescent="0.25">
      <c r="U1002" s="111"/>
    </row>
    <row r="1003" spans="21:21" x14ac:dyDescent="0.25">
      <c r="U1003" s="111"/>
    </row>
    <row r="1004" spans="21:21" x14ac:dyDescent="0.25">
      <c r="U1004" s="111"/>
    </row>
    <row r="1005" spans="21:21" x14ac:dyDescent="0.25">
      <c r="U1005" s="111"/>
    </row>
    <row r="1006" spans="21:21" x14ac:dyDescent="0.25">
      <c r="U1006" s="111"/>
    </row>
    <row r="1007" spans="21:21" x14ac:dyDescent="0.25">
      <c r="U1007" s="111"/>
    </row>
    <row r="1008" spans="21:21" x14ac:dyDescent="0.25">
      <c r="U1008" s="111"/>
    </row>
    <row r="1009" spans="21:21" x14ac:dyDescent="0.25">
      <c r="U1009" s="111"/>
    </row>
    <row r="1010" spans="21:21" x14ac:dyDescent="0.25">
      <c r="U1010" s="111"/>
    </row>
    <row r="1011" spans="21:21" x14ac:dyDescent="0.25">
      <c r="U1011" s="111"/>
    </row>
    <row r="1012" spans="21:21" x14ac:dyDescent="0.25">
      <c r="U1012" s="111"/>
    </row>
    <row r="1013" spans="21:21" x14ac:dyDescent="0.25">
      <c r="U1013" s="111"/>
    </row>
    <row r="1014" spans="21:21" x14ac:dyDescent="0.25">
      <c r="U1014" s="111"/>
    </row>
    <row r="1015" spans="21:21" x14ac:dyDescent="0.25">
      <c r="U1015" s="111"/>
    </row>
  </sheetData>
  <dataConsolidate/>
  <mergeCells count="1">
    <mergeCell ref="A74:G74"/>
  </mergeCells>
  <phoneticPr fontId="8" type="noConversion"/>
  <conditionalFormatting sqref="E1:E1048576">
    <cfRule type="duplicateValues" dxfId="139" priority="23"/>
    <cfRule type="duplicateValues" dxfId="138" priority="24"/>
  </conditionalFormatting>
  <conditionalFormatting sqref="E3:E73">
    <cfRule type="duplicateValues" dxfId="137" priority="141"/>
    <cfRule type="duplicateValues" dxfId="136" priority="14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8">
        <v>45314</v>
      </c>
      <c r="F3" s="40"/>
      <c r="XFD3" t="s">
        <v>8486</v>
      </c>
    </row>
    <row r="4" spans="1:9 16384:16384" ht="15" customHeight="1" x14ac:dyDescent="0.25">
      <c r="B4" s="23" t="s">
        <v>3</v>
      </c>
      <c r="D4" s="73" t="s">
        <v>1</v>
      </c>
      <c r="F4" s="2"/>
      <c r="XFD4" t="s">
        <v>8487</v>
      </c>
    </row>
    <row r="5" spans="1:9 16384:16384" ht="15" customHeight="1" x14ac:dyDescent="0.25">
      <c r="B5" s="23" t="s">
        <v>4</v>
      </c>
      <c r="D5" s="73" t="s">
        <v>0</v>
      </c>
      <c r="F5" s="2"/>
      <c r="XFD5" t="s">
        <v>8488</v>
      </c>
    </row>
    <row r="6" spans="1:9 16384:16384" ht="15" customHeight="1" x14ac:dyDescent="0.25">
      <c r="B6" s="24" t="s">
        <v>28</v>
      </c>
      <c r="D6" s="74" t="s">
        <v>9268</v>
      </c>
      <c r="F6" s="2"/>
      <c r="XFD6" t="s">
        <v>8490</v>
      </c>
    </row>
    <row r="7" spans="1:9 16384:16384" ht="15" customHeight="1" x14ac:dyDescent="0.25">
      <c r="B7" s="23" t="s">
        <v>27</v>
      </c>
      <c r="D7" s="74" t="s">
        <v>9269</v>
      </c>
      <c r="F7" s="2"/>
      <c r="XFD7" t="s">
        <v>8489</v>
      </c>
    </row>
    <row r="8" spans="1:9 16384:16384" ht="16.5" customHeight="1" x14ac:dyDescent="0.25">
      <c r="B8" s="23" t="s">
        <v>26</v>
      </c>
      <c r="D8" s="105"/>
      <c r="F8" s="33"/>
      <c r="XFD8" t="s">
        <v>9012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9013</v>
      </c>
    </row>
    <row r="10" spans="1:9 16384:16384" ht="16.5" customHeight="1" x14ac:dyDescent="0.25">
      <c r="B10" s="23" t="s">
        <v>24</v>
      </c>
      <c r="D10" s="119" t="s">
        <v>3103</v>
      </c>
      <c r="F10" s="39"/>
      <c r="XFD10" t="s">
        <v>9014</v>
      </c>
    </row>
    <row r="11" spans="1:9 16384:16384" ht="16.5" customHeight="1" x14ac:dyDescent="0.25">
      <c r="B11" s="24" t="s">
        <v>72</v>
      </c>
      <c r="D11" s="101" t="str">
        <f>IFERROR(IF(D10&lt;&gt;"",VLOOKUP(D10,Tabla4[#All],2,0),IF(D19&lt;&gt;0,VLOOKUP(D19,Tabla4[#All],2,0),0)),"")</f>
        <v>PRODUCTOS CARNICOS, S.A. DE C.V.</v>
      </c>
      <c r="F11" s="32"/>
      <c r="H11" s="1"/>
      <c r="I11" s="1"/>
      <c r="XFD11" t="s">
        <v>9015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9016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9017</v>
      </c>
    </row>
    <row r="14" spans="1:9 16384:16384" x14ac:dyDescent="0.25">
      <c r="B14" s="23" t="s">
        <v>23</v>
      </c>
      <c r="D14" s="108">
        <v>0</v>
      </c>
      <c r="F14" s="32"/>
    </row>
    <row r="15" spans="1:9 16384:16384" x14ac:dyDescent="0.25">
      <c r="B15" s="23" t="s">
        <v>22</v>
      </c>
      <c r="D15" s="109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0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U9758"/>
  <sheetViews>
    <sheetView zoomScaleNormal="100" workbookViewId="0">
      <selection activeCell="I3" sqref="I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21" x14ac:dyDescent="0.25">
      <c r="A2" t="s">
        <v>17</v>
      </c>
      <c r="B2" s="13" t="s">
        <v>2</v>
      </c>
      <c r="C2" s="2" t="s">
        <v>3</v>
      </c>
      <c r="D2" s="40" t="s">
        <v>4</v>
      </c>
      <c r="E2" s="2" t="s">
        <v>28</v>
      </c>
      <c r="F2" s="2" t="s">
        <v>27</v>
      </c>
      <c r="G2" s="2" t="s">
        <v>26</v>
      </c>
      <c r="H2" s="2" t="s">
        <v>25</v>
      </c>
      <c r="I2" s="33" t="s">
        <v>24</v>
      </c>
      <c r="J2" s="38" t="s">
        <v>72</v>
      </c>
      <c r="K2" s="39" t="s">
        <v>74</v>
      </c>
      <c r="L2" s="32" t="s">
        <v>73</v>
      </c>
      <c r="M2" s="2" t="s">
        <v>23</v>
      </c>
      <c r="N2" s="2" t="s">
        <v>22</v>
      </c>
      <c r="O2" s="32" t="s">
        <v>21</v>
      </c>
      <c r="P2" s="2" t="s">
        <v>20</v>
      </c>
      <c r="Q2" s="2" t="s">
        <v>75</v>
      </c>
      <c r="R2" s="2" t="s">
        <v>7943</v>
      </c>
      <c r="S2" s="32" t="s">
        <v>18</v>
      </c>
      <c r="T2" s="2" t="s">
        <v>9295</v>
      </c>
      <c r="U2" s="2" t="s">
        <v>8573</v>
      </c>
    </row>
    <row r="3" spans="1:21" x14ac:dyDescent="0.25">
      <c r="A3" s="2" t="s">
        <v>8491</v>
      </c>
      <c r="B3" s="40">
        <v>45314</v>
      </c>
      <c r="C3" s="2" t="s">
        <v>1</v>
      </c>
      <c r="D3" s="2" t="s">
        <v>0</v>
      </c>
      <c r="E3" s="2" t="s">
        <v>9268</v>
      </c>
      <c r="F3" s="2" t="s">
        <v>9269</v>
      </c>
      <c r="G3" s="33">
        <v>30</v>
      </c>
      <c r="H3" s="38">
        <v>30</v>
      </c>
      <c r="I3" s="39" t="s">
        <v>9218</v>
      </c>
      <c r="J3" s="32" t="s">
        <v>9173</v>
      </c>
      <c r="K3" s="2">
        <v>0</v>
      </c>
      <c r="L3" s="2">
        <v>0</v>
      </c>
      <c r="M3" s="32">
        <v>452.37</v>
      </c>
      <c r="N3" s="2">
        <v>58.808100000000003</v>
      </c>
      <c r="O3" s="2">
        <v>0</v>
      </c>
      <c r="P3" s="2">
        <v>0</v>
      </c>
      <c r="Q3" s="32">
        <v>511.17810000000003</v>
      </c>
      <c r="S3" s="2" t="s">
        <v>1</v>
      </c>
      <c r="T3" s="150"/>
      <c r="U3" s="150"/>
    </row>
    <row r="4" spans="1:21" x14ac:dyDescent="0.25">
      <c r="A4" s="2" t="s">
        <v>8491</v>
      </c>
      <c r="B4" s="40">
        <v>45314</v>
      </c>
      <c r="C4" s="2" t="s">
        <v>1</v>
      </c>
      <c r="D4" s="2" t="s">
        <v>0</v>
      </c>
      <c r="E4" s="2" t="s">
        <v>9268</v>
      </c>
      <c r="F4" s="2" t="s">
        <v>9269</v>
      </c>
      <c r="G4" s="33">
        <v>29</v>
      </c>
      <c r="H4" s="38">
        <v>29</v>
      </c>
      <c r="I4" s="39" t="s">
        <v>6517</v>
      </c>
      <c r="J4" s="32" t="s">
        <v>6518</v>
      </c>
      <c r="K4" s="2">
        <v>0</v>
      </c>
      <c r="L4" s="2">
        <v>0</v>
      </c>
      <c r="M4" s="32">
        <v>286.63</v>
      </c>
      <c r="N4" s="2">
        <v>37.261899999999997</v>
      </c>
      <c r="O4" s="2">
        <v>0</v>
      </c>
      <c r="P4" s="2">
        <v>0</v>
      </c>
      <c r="Q4" s="32">
        <v>323.89189999999996</v>
      </c>
      <c r="S4" s="2" t="s">
        <v>1</v>
      </c>
      <c r="T4" s="150"/>
      <c r="U4" s="150"/>
    </row>
    <row r="5" spans="1:21" x14ac:dyDescent="0.25">
      <c r="A5" s="2" t="s">
        <v>8491</v>
      </c>
      <c r="B5" s="40">
        <v>45314</v>
      </c>
      <c r="C5" s="2" t="s">
        <v>1</v>
      </c>
      <c r="D5" s="2" t="s">
        <v>0</v>
      </c>
      <c r="E5" s="2" t="s">
        <v>9268</v>
      </c>
      <c r="F5" s="2" t="s">
        <v>9269</v>
      </c>
      <c r="G5" s="33">
        <v>28</v>
      </c>
      <c r="H5" s="38">
        <v>28</v>
      </c>
      <c r="I5" s="39" t="s">
        <v>2579</v>
      </c>
      <c r="J5" s="32" t="s">
        <v>2580</v>
      </c>
      <c r="K5" s="2">
        <v>0</v>
      </c>
      <c r="L5" s="2">
        <v>0</v>
      </c>
      <c r="M5" s="32">
        <v>825</v>
      </c>
      <c r="N5" s="2">
        <v>107.25</v>
      </c>
      <c r="O5" s="2">
        <v>0</v>
      </c>
      <c r="P5" s="2">
        <v>0</v>
      </c>
      <c r="Q5" s="32">
        <v>932.25</v>
      </c>
      <c r="S5" s="2" t="s">
        <v>1</v>
      </c>
      <c r="T5" s="150"/>
      <c r="U5" s="150"/>
    </row>
    <row r="6" spans="1:21" x14ac:dyDescent="0.25">
      <c r="A6" s="2" t="s">
        <v>8491</v>
      </c>
      <c r="B6" s="40">
        <v>45309</v>
      </c>
      <c r="C6" s="2" t="s">
        <v>1</v>
      </c>
      <c r="D6" s="2" t="s">
        <v>0</v>
      </c>
      <c r="E6" s="2" t="s">
        <v>9268</v>
      </c>
      <c r="F6" s="2" t="s">
        <v>9269</v>
      </c>
      <c r="G6" s="33">
        <v>27</v>
      </c>
      <c r="H6" s="38">
        <v>27</v>
      </c>
      <c r="I6" s="39" t="s">
        <v>2641</v>
      </c>
      <c r="J6" s="32" t="s">
        <v>2642</v>
      </c>
      <c r="K6" s="2">
        <v>0</v>
      </c>
      <c r="L6" s="2">
        <v>0</v>
      </c>
      <c r="M6" s="32">
        <v>190.92</v>
      </c>
      <c r="N6" s="2">
        <v>24.819599999999998</v>
      </c>
      <c r="O6" s="2">
        <v>0</v>
      </c>
      <c r="P6" s="2">
        <v>0</v>
      </c>
      <c r="Q6" s="32">
        <v>215.7396</v>
      </c>
      <c r="S6" s="2" t="s">
        <v>1</v>
      </c>
      <c r="T6" s="150"/>
      <c r="U6" s="150"/>
    </row>
    <row r="7" spans="1:21" x14ac:dyDescent="0.25">
      <c r="A7" s="2" t="s">
        <v>8491</v>
      </c>
      <c r="B7" s="40">
        <v>45309</v>
      </c>
      <c r="C7" s="2" t="s">
        <v>1</v>
      </c>
      <c r="D7" s="2" t="s">
        <v>0</v>
      </c>
      <c r="E7" s="2" t="s">
        <v>9268</v>
      </c>
      <c r="F7" s="2" t="s">
        <v>9269</v>
      </c>
      <c r="G7" s="33">
        <v>26</v>
      </c>
      <c r="H7" s="38">
        <v>26</v>
      </c>
      <c r="I7" s="39" t="s">
        <v>3527</v>
      </c>
      <c r="J7" s="32" t="s">
        <v>3528</v>
      </c>
      <c r="K7" s="2">
        <v>0</v>
      </c>
      <c r="L7" s="2">
        <v>0</v>
      </c>
      <c r="M7" s="32">
        <v>1344.85</v>
      </c>
      <c r="N7" s="2">
        <v>174.8305</v>
      </c>
      <c r="O7" s="2">
        <v>0</v>
      </c>
      <c r="P7" s="2">
        <v>0</v>
      </c>
      <c r="Q7" s="32">
        <v>1519.6804999999999</v>
      </c>
      <c r="S7" s="2" t="s">
        <v>1</v>
      </c>
      <c r="T7" s="150"/>
      <c r="U7" s="150"/>
    </row>
    <row r="8" spans="1:21" x14ac:dyDescent="0.25">
      <c r="A8" s="2" t="s">
        <v>8491</v>
      </c>
      <c r="B8" s="40">
        <v>45302</v>
      </c>
      <c r="C8" s="2" t="s">
        <v>1</v>
      </c>
      <c r="D8" s="2" t="s">
        <v>0</v>
      </c>
      <c r="E8" s="2" t="s">
        <v>9268</v>
      </c>
      <c r="F8" s="2" t="s">
        <v>9269</v>
      </c>
      <c r="G8" s="33">
        <v>25</v>
      </c>
      <c r="H8" s="38">
        <v>25</v>
      </c>
      <c r="I8" s="39" t="s">
        <v>1470</v>
      </c>
      <c r="J8" s="32" t="s">
        <v>1471</v>
      </c>
      <c r="K8" s="2">
        <v>0</v>
      </c>
      <c r="L8" s="2">
        <v>0</v>
      </c>
      <c r="M8" s="32">
        <v>1106</v>
      </c>
      <c r="N8" s="2">
        <v>143.78</v>
      </c>
      <c r="O8" s="2">
        <v>0</v>
      </c>
      <c r="P8" s="2">
        <v>0</v>
      </c>
      <c r="Q8" s="32">
        <v>1249.78</v>
      </c>
      <c r="S8" s="2" t="s">
        <v>1</v>
      </c>
      <c r="T8" s="150"/>
      <c r="U8" s="150"/>
    </row>
    <row r="9" spans="1:21" x14ac:dyDescent="0.25">
      <c r="A9" s="2" t="s">
        <v>8491</v>
      </c>
      <c r="B9" s="40">
        <v>45299</v>
      </c>
      <c r="C9" s="2" t="s">
        <v>1</v>
      </c>
      <c r="D9" s="2" t="s">
        <v>0</v>
      </c>
      <c r="E9" s="2" t="s">
        <v>9268</v>
      </c>
      <c r="F9" s="2" t="s">
        <v>9269</v>
      </c>
      <c r="G9" s="33">
        <v>24</v>
      </c>
      <c r="H9" s="38">
        <v>24</v>
      </c>
      <c r="I9" s="39" t="s">
        <v>3051</v>
      </c>
      <c r="J9" s="32" t="s">
        <v>3052</v>
      </c>
      <c r="K9" s="2">
        <v>0</v>
      </c>
      <c r="L9" s="2">
        <v>0</v>
      </c>
      <c r="M9" s="32">
        <v>167.29</v>
      </c>
      <c r="N9" s="2">
        <v>21.747699999999998</v>
      </c>
      <c r="O9" s="2">
        <v>0</v>
      </c>
      <c r="P9" s="2">
        <v>0</v>
      </c>
      <c r="Q9" s="32">
        <v>189.0377</v>
      </c>
      <c r="S9" s="2" t="s">
        <v>1</v>
      </c>
      <c r="T9" s="150"/>
      <c r="U9" s="150"/>
    </row>
    <row r="10" spans="1:21" x14ac:dyDescent="0.25">
      <c r="A10" s="2" t="s">
        <v>8491</v>
      </c>
      <c r="B10" s="40">
        <v>45299</v>
      </c>
      <c r="C10" s="2" t="s">
        <v>1</v>
      </c>
      <c r="D10" s="2" t="s">
        <v>0</v>
      </c>
      <c r="E10" s="2" t="s">
        <v>9268</v>
      </c>
      <c r="F10" s="2" t="s">
        <v>9269</v>
      </c>
      <c r="G10" s="33">
        <v>23</v>
      </c>
      <c r="H10" s="38">
        <v>23</v>
      </c>
      <c r="I10" s="39" t="s">
        <v>7676</v>
      </c>
      <c r="J10" s="32" t="s">
        <v>7675</v>
      </c>
      <c r="K10" s="2">
        <v>0</v>
      </c>
      <c r="L10" s="2">
        <v>0</v>
      </c>
      <c r="M10" s="32">
        <v>0</v>
      </c>
      <c r="N10" s="2">
        <v>0</v>
      </c>
      <c r="O10" s="2">
        <v>0</v>
      </c>
      <c r="P10" s="2">
        <v>0</v>
      </c>
      <c r="Q10" s="32">
        <v>0</v>
      </c>
      <c r="S10" s="2" t="s">
        <v>1</v>
      </c>
      <c r="T10" s="150"/>
      <c r="U10" s="150"/>
    </row>
    <row r="11" spans="1:21" x14ac:dyDescent="0.25">
      <c r="A11" s="2" t="s">
        <v>8491</v>
      </c>
      <c r="B11" s="40">
        <v>45299</v>
      </c>
      <c r="C11" s="2" t="s">
        <v>1</v>
      </c>
      <c r="D11" s="2" t="s">
        <v>0</v>
      </c>
      <c r="E11" s="2" t="s">
        <v>9268</v>
      </c>
      <c r="F11" s="2" t="s">
        <v>9269</v>
      </c>
      <c r="G11" s="33">
        <v>22</v>
      </c>
      <c r="H11" s="38">
        <v>22</v>
      </c>
      <c r="I11" s="39" t="s">
        <v>9195</v>
      </c>
      <c r="J11" s="32" t="s">
        <v>9196</v>
      </c>
      <c r="K11" s="2">
        <v>0</v>
      </c>
      <c r="L11" s="2">
        <v>0</v>
      </c>
      <c r="M11" s="32">
        <v>302.5</v>
      </c>
      <c r="N11" s="2">
        <v>39.325000000000003</v>
      </c>
      <c r="O11" s="2">
        <v>0</v>
      </c>
      <c r="P11" s="2">
        <v>0</v>
      </c>
      <c r="Q11" s="32">
        <v>341.82499999999999</v>
      </c>
      <c r="S11" s="2" t="s">
        <v>1</v>
      </c>
      <c r="T11" s="150"/>
      <c r="U11" s="150"/>
    </row>
    <row r="12" spans="1:21" x14ac:dyDescent="0.25">
      <c r="A12" s="2" t="s">
        <v>8491</v>
      </c>
      <c r="B12" s="40">
        <v>45299</v>
      </c>
      <c r="C12" s="2" t="s">
        <v>1</v>
      </c>
      <c r="D12" s="2" t="s">
        <v>0</v>
      </c>
      <c r="E12" s="2" t="s">
        <v>9268</v>
      </c>
      <c r="F12" s="2" t="s">
        <v>9269</v>
      </c>
      <c r="G12" s="33">
        <v>21</v>
      </c>
      <c r="H12" s="38">
        <v>21</v>
      </c>
      <c r="I12" s="39" t="s">
        <v>6499</v>
      </c>
      <c r="J12" s="32" t="s">
        <v>6500</v>
      </c>
      <c r="K12" s="2">
        <v>0</v>
      </c>
      <c r="L12" s="2">
        <v>0</v>
      </c>
      <c r="M12" s="32">
        <v>432.31</v>
      </c>
      <c r="N12" s="2">
        <v>56.200300000000006</v>
      </c>
      <c r="O12" s="2">
        <v>0</v>
      </c>
      <c r="P12" s="2">
        <v>0</v>
      </c>
      <c r="Q12" s="32">
        <v>488.51030000000003</v>
      </c>
      <c r="S12" s="2" t="s">
        <v>1</v>
      </c>
      <c r="T12" s="150"/>
      <c r="U12" s="150"/>
    </row>
    <row r="13" spans="1:21" x14ac:dyDescent="0.25">
      <c r="A13" s="2" t="s">
        <v>8491</v>
      </c>
      <c r="B13" s="40">
        <v>45299</v>
      </c>
      <c r="C13" s="2" t="s">
        <v>1</v>
      </c>
      <c r="D13" s="2" t="s">
        <v>0</v>
      </c>
      <c r="E13" s="2" t="s">
        <v>9268</v>
      </c>
      <c r="F13" s="2" t="s">
        <v>9269</v>
      </c>
      <c r="G13" s="33">
        <v>20</v>
      </c>
      <c r="H13" s="38">
        <v>20</v>
      </c>
      <c r="I13" s="39" t="s">
        <v>9181</v>
      </c>
      <c r="J13" s="32" t="s">
        <v>9182</v>
      </c>
      <c r="K13" s="2">
        <v>0</v>
      </c>
      <c r="L13" s="2">
        <v>0</v>
      </c>
      <c r="M13" s="32">
        <v>172.5</v>
      </c>
      <c r="N13" s="2">
        <v>22.425000000000001</v>
      </c>
      <c r="O13" s="2">
        <v>0</v>
      </c>
      <c r="P13" s="2">
        <v>0</v>
      </c>
      <c r="Q13" s="32">
        <v>194.92500000000001</v>
      </c>
      <c r="S13" s="2" t="s">
        <v>1</v>
      </c>
      <c r="T13" s="150"/>
      <c r="U13" s="150"/>
    </row>
    <row r="14" spans="1:21" x14ac:dyDescent="0.25">
      <c r="A14" s="2" t="s">
        <v>8491</v>
      </c>
      <c r="B14" s="40">
        <v>45299</v>
      </c>
      <c r="C14" s="2" t="s">
        <v>1</v>
      </c>
      <c r="D14" s="2" t="s">
        <v>0</v>
      </c>
      <c r="E14" s="2" t="s">
        <v>9268</v>
      </c>
      <c r="F14" s="2" t="s">
        <v>9269</v>
      </c>
      <c r="G14" s="33">
        <v>19</v>
      </c>
      <c r="H14" s="38">
        <v>19</v>
      </c>
      <c r="I14" s="39" t="s">
        <v>7676</v>
      </c>
      <c r="J14" s="32" t="s">
        <v>7675</v>
      </c>
      <c r="K14" s="2">
        <v>0</v>
      </c>
      <c r="L14" s="2">
        <v>0</v>
      </c>
      <c r="M14" s="32">
        <v>0</v>
      </c>
      <c r="N14" s="2">
        <v>0</v>
      </c>
      <c r="O14" s="2">
        <v>0</v>
      </c>
      <c r="P14" s="2">
        <v>0</v>
      </c>
      <c r="Q14" s="32">
        <v>0</v>
      </c>
      <c r="S14" s="2" t="s">
        <v>1</v>
      </c>
      <c r="T14" s="150"/>
      <c r="U14" s="150"/>
    </row>
    <row r="15" spans="1:21" x14ac:dyDescent="0.25">
      <c r="A15" s="2" t="s">
        <v>8491</v>
      </c>
      <c r="B15" s="40">
        <v>45299</v>
      </c>
      <c r="C15" s="2" t="s">
        <v>1</v>
      </c>
      <c r="D15" s="2" t="s">
        <v>0</v>
      </c>
      <c r="E15" s="2" t="s">
        <v>9268</v>
      </c>
      <c r="F15" s="2" t="s">
        <v>9269</v>
      </c>
      <c r="G15" s="33">
        <v>18</v>
      </c>
      <c r="H15" s="38">
        <v>18</v>
      </c>
      <c r="I15" s="39" t="s">
        <v>3411</v>
      </c>
      <c r="J15" s="32" t="s">
        <v>3412</v>
      </c>
      <c r="K15" s="2">
        <v>0</v>
      </c>
      <c r="L15" s="2">
        <v>0</v>
      </c>
      <c r="M15" s="32">
        <v>411.58</v>
      </c>
      <c r="N15" s="2">
        <v>53.505400000000002</v>
      </c>
      <c r="O15" s="2">
        <v>0</v>
      </c>
      <c r="P15" s="2">
        <v>0</v>
      </c>
      <c r="Q15" s="32">
        <v>465.08539999999999</v>
      </c>
      <c r="S15" s="2" t="s">
        <v>1</v>
      </c>
      <c r="T15" s="150"/>
      <c r="U15" s="150"/>
    </row>
    <row r="16" spans="1:21" x14ac:dyDescent="0.25">
      <c r="A16" s="2" t="s">
        <v>8491</v>
      </c>
      <c r="B16" s="40">
        <v>45299</v>
      </c>
      <c r="C16" s="2" t="s">
        <v>1</v>
      </c>
      <c r="D16" s="2" t="s">
        <v>0</v>
      </c>
      <c r="E16" s="2" t="s">
        <v>9268</v>
      </c>
      <c r="F16" s="2" t="s">
        <v>9269</v>
      </c>
      <c r="G16" s="33">
        <v>17</v>
      </c>
      <c r="H16" s="38">
        <v>17</v>
      </c>
      <c r="I16" s="39" t="s">
        <v>2196</v>
      </c>
      <c r="J16" s="32" t="s">
        <v>2197</v>
      </c>
      <c r="K16" s="2">
        <v>0</v>
      </c>
      <c r="L16" s="2">
        <v>0</v>
      </c>
      <c r="M16" s="32">
        <v>159.44</v>
      </c>
      <c r="N16" s="2">
        <v>20.7272</v>
      </c>
      <c r="O16" s="2">
        <v>0</v>
      </c>
      <c r="P16" s="2">
        <v>0</v>
      </c>
      <c r="Q16" s="32">
        <v>180.16720000000001</v>
      </c>
      <c r="S16" s="2" t="s">
        <v>1</v>
      </c>
      <c r="T16" s="150"/>
      <c r="U16" s="150"/>
    </row>
    <row r="17" spans="1:21" ht="15.75" thickBot="1" x14ac:dyDescent="0.3">
      <c r="A17" s="2" t="s">
        <v>8491</v>
      </c>
      <c r="B17" s="40">
        <v>45299</v>
      </c>
      <c r="C17" s="2" t="s">
        <v>1</v>
      </c>
      <c r="D17" s="2" t="s">
        <v>0</v>
      </c>
      <c r="E17" s="2" t="s">
        <v>9268</v>
      </c>
      <c r="F17" s="2" t="s">
        <v>9269</v>
      </c>
      <c r="G17" s="33">
        <v>16</v>
      </c>
      <c r="H17" s="38">
        <v>16</v>
      </c>
      <c r="I17" s="39" t="s">
        <v>1320</v>
      </c>
      <c r="J17" s="32" t="s">
        <v>1321</v>
      </c>
      <c r="K17" s="2">
        <v>0</v>
      </c>
      <c r="L17" s="2">
        <v>0</v>
      </c>
      <c r="M17" s="32">
        <v>172.5</v>
      </c>
      <c r="N17" s="2">
        <v>22.425000000000001</v>
      </c>
      <c r="O17" s="2">
        <v>0</v>
      </c>
      <c r="P17" s="2">
        <v>0</v>
      </c>
      <c r="Q17" s="32">
        <v>194.92500000000001</v>
      </c>
      <c r="S17" s="2" t="s">
        <v>1</v>
      </c>
      <c r="T17" s="150"/>
      <c r="U17" s="150"/>
    </row>
    <row r="18" spans="1:21" ht="15.75" hidden="1" thickBot="1" x14ac:dyDescent="0.3">
      <c r="A18" s="2" t="s">
        <v>9017</v>
      </c>
      <c r="B18" s="40">
        <v>45280</v>
      </c>
      <c r="C18" s="2" t="s">
        <v>1</v>
      </c>
      <c r="D18" s="2" t="s">
        <v>0</v>
      </c>
      <c r="E18" s="2" t="s">
        <v>9268</v>
      </c>
      <c r="F18" s="2" t="s">
        <v>9269</v>
      </c>
      <c r="G18" s="33">
        <v>15</v>
      </c>
      <c r="H18" s="38">
        <v>15</v>
      </c>
      <c r="I18" s="39" t="s">
        <v>9218</v>
      </c>
      <c r="J18" s="32" t="s">
        <v>9173</v>
      </c>
      <c r="K18" s="2">
        <v>0</v>
      </c>
      <c r="L18" s="2">
        <v>0</v>
      </c>
      <c r="M18" s="32">
        <v>452.37</v>
      </c>
      <c r="N18" s="2">
        <v>58.808100000000003</v>
      </c>
      <c r="O18" s="2">
        <v>0</v>
      </c>
      <c r="P18" s="2">
        <v>0</v>
      </c>
      <c r="Q18" s="32">
        <v>511.17810000000003</v>
      </c>
      <c r="S18" s="2" t="s">
        <v>1</v>
      </c>
      <c r="T18" s="2"/>
      <c r="U18" s="2"/>
    </row>
    <row r="19" spans="1:21" ht="15.75" hidden="1" thickBot="1" x14ac:dyDescent="0.3">
      <c r="A19" s="2" t="s">
        <v>9017</v>
      </c>
      <c r="B19" s="40">
        <v>45280</v>
      </c>
      <c r="C19" s="2" t="s">
        <v>1</v>
      </c>
      <c r="D19" s="2" t="s">
        <v>0</v>
      </c>
      <c r="E19" s="2" t="s">
        <v>9268</v>
      </c>
      <c r="F19" s="2" t="s">
        <v>9269</v>
      </c>
      <c r="G19" s="33">
        <v>14</v>
      </c>
      <c r="H19" s="38">
        <v>14</v>
      </c>
      <c r="I19" s="39" t="s">
        <v>3103</v>
      </c>
      <c r="J19" s="32" t="s">
        <v>3104</v>
      </c>
      <c r="K19" s="2">
        <v>0</v>
      </c>
      <c r="L19" s="2">
        <v>0</v>
      </c>
      <c r="M19" s="32">
        <v>432.26</v>
      </c>
      <c r="N19" s="2">
        <v>56.193800000000003</v>
      </c>
      <c r="O19" s="2">
        <v>0</v>
      </c>
      <c r="P19" s="2">
        <v>0</v>
      </c>
      <c r="Q19" s="32">
        <v>488.4538</v>
      </c>
      <c r="S19" s="2" t="s">
        <v>1</v>
      </c>
      <c r="T19" s="2"/>
      <c r="U19" s="2"/>
    </row>
    <row r="20" spans="1:21" ht="15.75" hidden="1" thickBot="1" x14ac:dyDescent="0.3">
      <c r="A20" s="2" t="s">
        <v>9017</v>
      </c>
      <c r="B20" s="40">
        <v>45278</v>
      </c>
      <c r="C20" s="2" t="s">
        <v>1</v>
      </c>
      <c r="D20" s="2" t="s">
        <v>0</v>
      </c>
      <c r="E20" s="2" t="s">
        <v>9268</v>
      </c>
      <c r="F20" s="2" t="s">
        <v>9269</v>
      </c>
      <c r="G20" s="33">
        <v>13</v>
      </c>
      <c r="H20" s="38">
        <v>13</v>
      </c>
      <c r="I20" s="39" t="s">
        <v>7676</v>
      </c>
      <c r="J20" s="32" t="s">
        <v>7675</v>
      </c>
      <c r="K20" s="2">
        <v>0</v>
      </c>
      <c r="L20" s="2">
        <v>0</v>
      </c>
      <c r="M20" s="32">
        <v>0</v>
      </c>
      <c r="N20" s="2">
        <v>0</v>
      </c>
      <c r="O20" s="2">
        <v>0</v>
      </c>
      <c r="P20" s="2">
        <v>0</v>
      </c>
      <c r="Q20" s="32">
        <v>0</v>
      </c>
      <c r="S20" s="2" t="s">
        <v>1</v>
      </c>
      <c r="T20" s="2"/>
      <c r="U20" s="2"/>
    </row>
    <row r="21" spans="1:21" ht="15.75" hidden="1" thickBot="1" x14ac:dyDescent="0.3">
      <c r="A21" s="2" t="s">
        <v>9017</v>
      </c>
      <c r="B21" s="40">
        <v>45275</v>
      </c>
      <c r="C21" s="2" t="s">
        <v>1</v>
      </c>
      <c r="D21" s="2" t="s">
        <v>0</v>
      </c>
      <c r="E21" s="2" t="s">
        <v>9268</v>
      </c>
      <c r="F21" s="2" t="s">
        <v>9269</v>
      </c>
      <c r="G21" s="33">
        <v>12</v>
      </c>
      <c r="H21" s="38">
        <v>12</v>
      </c>
      <c r="I21" s="39" t="s">
        <v>1470</v>
      </c>
      <c r="J21" s="32" t="s">
        <v>1471</v>
      </c>
      <c r="K21" s="2">
        <v>0</v>
      </c>
      <c r="L21" s="2">
        <v>0</v>
      </c>
      <c r="M21" s="32">
        <v>1422</v>
      </c>
      <c r="N21" s="2">
        <v>184.86</v>
      </c>
      <c r="O21" s="2">
        <v>0</v>
      </c>
      <c r="P21" s="2">
        <v>0</v>
      </c>
      <c r="Q21" s="32">
        <v>1606.8600000000001</v>
      </c>
      <c r="S21" s="2" t="s">
        <v>1</v>
      </c>
      <c r="T21" s="2"/>
      <c r="U21" s="2"/>
    </row>
    <row r="22" spans="1:21" ht="15.75" hidden="1" thickBot="1" x14ac:dyDescent="0.3">
      <c r="A22" s="2" t="s">
        <v>9017</v>
      </c>
      <c r="B22" s="40">
        <v>45275</v>
      </c>
      <c r="C22" s="2" t="s">
        <v>1</v>
      </c>
      <c r="D22" s="2" t="s">
        <v>0</v>
      </c>
      <c r="E22" s="2" t="s">
        <v>9268</v>
      </c>
      <c r="F22" s="2" t="s">
        <v>9269</v>
      </c>
      <c r="G22" s="33">
        <v>11</v>
      </c>
      <c r="H22" s="38">
        <v>11</v>
      </c>
      <c r="I22" s="39" t="s">
        <v>3527</v>
      </c>
      <c r="J22" s="32" t="s">
        <v>3528</v>
      </c>
      <c r="K22" s="2">
        <v>0</v>
      </c>
      <c r="L22" s="2">
        <v>0</v>
      </c>
      <c r="M22" s="32">
        <v>1284.8499999999999</v>
      </c>
      <c r="N22" s="2">
        <v>167.03049999999999</v>
      </c>
      <c r="O22" s="2">
        <v>0</v>
      </c>
      <c r="P22" s="2">
        <v>0</v>
      </c>
      <c r="Q22" s="32">
        <v>1451.8805</v>
      </c>
      <c r="S22" s="2" t="s">
        <v>1</v>
      </c>
      <c r="T22" s="2"/>
      <c r="U22" s="2"/>
    </row>
    <row r="23" spans="1:21" ht="15.75" hidden="1" thickBot="1" x14ac:dyDescent="0.3">
      <c r="A23" s="2" t="s">
        <v>9017</v>
      </c>
      <c r="B23" s="40">
        <v>45274</v>
      </c>
      <c r="C23" s="2" t="s">
        <v>1</v>
      </c>
      <c r="D23" s="2" t="s">
        <v>0</v>
      </c>
      <c r="E23" s="2" t="s">
        <v>9268</v>
      </c>
      <c r="F23" s="2" t="s">
        <v>9269</v>
      </c>
      <c r="G23" s="33">
        <v>10</v>
      </c>
      <c r="H23" s="38">
        <v>10</v>
      </c>
      <c r="I23" s="39" t="s">
        <v>9216</v>
      </c>
      <c r="J23" s="32" t="s">
        <v>9217</v>
      </c>
      <c r="K23" s="2">
        <v>0</v>
      </c>
      <c r="L23" s="2">
        <v>0</v>
      </c>
      <c r="M23" s="32">
        <v>741.93</v>
      </c>
      <c r="N23" s="2">
        <v>96.45089999999999</v>
      </c>
      <c r="O23" s="2">
        <v>0</v>
      </c>
      <c r="P23" s="2">
        <v>0</v>
      </c>
      <c r="Q23" s="32">
        <v>838.38089999999988</v>
      </c>
      <c r="S23" s="2" t="s">
        <v>1</v>
      </c>
      <c r="T23" s="2"/>
      <c r="U23" s="2"/>
    </row>
    <row r="24" spans="1:21" ht="15.75" hidden="1" thickBot="1" x14ac:dyDescent="0.3">
      <c r="A24" s="2" t="s">
        <v>9017</v>
      </c>
      <c r="B24" s="40">
        <v>45273</v>
      </c>
      <c r="C24" s="2" t="s">
        <v>1</v>
      </c>
      <c r="D24" s="2" t="s">
        <v>0</v>
      </c>
      <c r="E24" s="2" t="s">
        <v>9268</v>
      </c>
      <c r="F24" s="2" t="s">
        <v>9269</v>
      </c>
      <c r="G24" s="33">
        <v>9</v>
      </c>
      <c r="H24" s="38">
        <v>9</v>
      </c>
      <c r="I24" s="39" t="s">
        <v>9216</v>
      </c>
      <c r="J24" s="32" t="s">
        <v>9217</v>
      </c>
      <c r="K24" s="2">
        <v>0</v>
      </c>
      <c r="L24" s="2">
        <v>0</v>
      </c>
      <c r="M24" s="32">
        <v>299.8</v>
      </c>
      <c r="N24" s="2">
        <v>38.974000000000004</v>
      </c>
      <c r="O24" s="2">
        <v>0</v>
      </c>
      <c r="P24" s="2">
        <v>0</v>
      </c>
      <c r="Q24" s="32">
        <v>338.774</v>
      </c>
      <c r="S24" s="2" t="s">
        <v>1</v>
      </c>
      <c r="T24" s="2"/>
      <c r="U24" s="2"/>
    </row>
    <row r="25" spans="1:21" ht="15.75" hidden="1" thickBot="1" x14ac:dyDescent="0.3">
      <c r="A25" s="2" t="s">
        <v>9017</v>
      </c>
      <c r="B25" s="40">
        <v>45273</v>
      </c>
      <c r="C25" s="2" t="s">
        <v>1</v>
      </c>
      <c r="D25" s="2" t="s">
        <v>0</v>
      </c>
      <c r="E25" s="2" t="s">
        <v>9268</v>
      </c>
      <c r="F25" s="2" t="s">
        <v>9269</v>
      </c>
      <c r="G25" s="33">
        <v>8</v>
      </c>
      <c r="H25" s="38">
        <v>8</v>
      </c>
      <c r="I25" s="39" t="s">
        <v>2196</v>
      </c>
      <c r="J25" s="32" t="s">
        <v>2197</v>
      </c>
      <c r="K25" s="2">
        <v>0</v>
      </c>
      <c r="L25" s="2">
        <v>0</v>
      </c>
      <c r="M25" s="32">
        <v>159.44</v>
      </c>
      <c r="N25" s="2">
        <v>20.7272</v>
      </c>
      <c r="O25" s="2">
        <v>0</v>
      </c>
      <c r="P25" s="2">
        <v>0</v>
      </c>
      <c r="Q25" s="32">
        <v>180.16720000000001</v>
      </c>
      <c r="S25" s="2" t="s">
        <v>1</v>
      </c>
      <c r="T25" s="2"/>
      <c r="U25" s="2"/>
    </row>
    <row r="26" spans="1:21" ht="15.75" hidden="1" thickBot="1" x14ac:dyDescent="0.3">
      <c r="A26" s="2" t="s">
        <v>9017</v>
      </c>
      <c r="B26" s="40">
        <v>45273</v>
      </c>
      <c r="C26" s="2" t="s">
        <v>1</v>
      </c>
      <c r="D26" s="2" t="s">
        <v>0</v>
      </c>
      <c r="E26" s="2" t="s">
        <v>9268</v>
      </c>
      <c r="F26" s="2" t="s">
        <v>9269</v>
      </c>
      <c r="G26" s="33">
        <v>7</v>
      </c>
      <c r="H26" s="38">
        <v>7</v>
      </c>
      <c r="I26" s="39" t="s">
        <v>7676</v>
      </c>
      <c r="J26" s="32" t="s">
        <v>7675</v>
      </c>
      <c r="K26" s="2">
        <v>0</v>
      </c>
      <c r="L26" s="2">
        <v>0</v>
      </c>
      <c r="M26" s="32">
        <v>0</v>
      </c>
      <c r="N26" s="2">
        <v>0</v>
      </c>
      <c r="O26" s="2">
        <v>0</v>
      </c>
      <c r="P26" s="2">
        <v>0</v>
      </c>
      <c r="Q26" s="32">
        <v>0</v>
      </c>
      <c r="S26" s="2" t="s">
        <v>1</v>
      </c>
      <c r="T26" s="2"/>
      <c r="U26" s="2"/>
    </row>
    <row r="27" spans="1:21" ht="15.75" hidden="1" thickBot="1" x14ac:dyDescent="0.3">
      <c r="A27" s="2" t="s">
        <v>9017</v>
      </c>
      <c r="B27" s="40">
        <v>45267</v>
      </c>
      <c r="C27" s="2" t="s">
        <v>1</v>
      </c>
      <c r="D27" s="2" t="s">
        <v>0</v>
      </c>
      <c r="E27" s="2" t="s">
        <v>9268</v>
      </c>
      <c r="F27" s="2" t="s">
        <v>9269</v>
      </c>
      <c r="G27" s="33">
        <v>6</v>
      </c>
      <c r="H27" s="38">
        <v>6</v>
      </c>
      <c r="I27" s="39" t="s">
        <v>2802</v>
      </c>
      <c r="J27" s="32" t="s">
        <v>2803</v>
      </c>
      <c r="K27" s="2">
        <v>0</v>
      </c>
      <c r="L27" s="2">
        <v>0</v>
      </c>
      <c r="M27" s="32">
        <v>693.3</v>
      </c>
      <c r="N27" s="2">
        <v>90.128999999999991</v>
      </c>
      <c r="O27" s="2">
        <v>0</v>
      </c>
      <c r="P27" s="2">
        <v>0</v>
      </c>
      <c r="Q27" s="32">
        <v>783.42899999999997</v>
      </c>
      <c r="S27" s="2" t="s">
        <v>1</v>
      </c>
      <c r="T27" s="2"/>
      <c r="U27" s="2"/>
    </row>
    <row r="28" spans="1:21" ht="15.75" hidden="1" thickBot="1" x14ac:dyDescent="0.3">
      <c r="A28" s="2" t="s">
        <v>9017</v>
      </c>
      <c r="B28" s="40">
        <v>45267</v>
      </c>
      <c r="C28" s="2" t="s">
        <v>1</v>
      </c>
      <c r="D28" s="2" t="s">
        <v>0</v>
      </c>
      <c r="E28" s="2" t="s">
        <v>9268</v>
      </c>
      <c r="F28" s="2" t="s">
        <v>9269</v>
      </c>
      <c r="G28" s="33">
        <v>5</v>
      </c>
      <c r="H28" s="38">
        <v>5</v>
      </c>
      <c r="I28" s="39" t="s">
        <v>9195</v>
      </c>
      <c r="J28" s="32" t="s">
        <v>9196</v>
      </c>
      <c r="K28" s="2">
        <v>0</v>
      </c>
      <c r="L28" s="2">
        <v>0</v>
      </c>
      <c r="M28" s="32">
        <v>302.5</v>
      </c>
      <c r="N28" s="2">
        <v>39.325000000000003</v>
      </c>
      <c r="O28" s="2">
        <v>0</v>
      </c>
      <c r="P28" s="2">
        <v>0</v>
      </c>
      <c r="Q28" s="32">
        <v>341.82499999999999</v>
      </c>
      <c r="S28" s="2" t="s">
        <v>1</v>
      </c>
      <c r="T28" s="2"/>
      <c r="U28" s="2"/>
    </row>
    <row r="29" spans="1:21" ht="15.75" hidden="1" thickBot="1" x14ac:dyDescent="0.3">
      <c r="A29" s="2" t="s">
        <v>9017</v>
      </c>
      <c r="B29" s="40">
        <v>45267</v>
      </c>
      <c r="C29" s="2" t="s">
        <v>1</v>
      </c>
      <c r="D29" s="2" t="s">
        <v>0</v>
      </c>
      <c r="E29" s="2" t="s">
        <v>9268</v>
      </c>
      <c r="F29" s="2" t="s">
        <v>9269</v>
      </c>
      <c r="G29" s="33">
        <v>4</v>
      </c>
      <c r="H29" s="38">
        <v>4</v>
      </c>
      <c r="I29" s="39" t="s">
        <v>2579</v>
      </c>
      <c r="J29" s="32" t="s">
        <v>2580</v>
      </c>
      <c r="K29" s="2">
        <v>0</v>
      </c>
      <c r="L29" s="2">
        <v>0</v>
      </c>
      <c r="M29" s="32">
        <v>825</v>
      </c>
      <c r="N29" s="2">
        <v>107.25</v>
      </c>
      <c r="O29" s="2">
        <v>0</v>
      </c>
      <c r="P29" s="2">
        <v>0</v>
      </c>
      <c r="Q29" s="32">
        <v>932.25</v>
      </c>
      <c r="S29" s="2" t="s">
        <v>1</v>
      </c>
      <c r="T29" s="2"/>
      <c r="U29" s="2"/>
    </row>
    <row r="30" spans="1:21" ht="15.75" hidden="1" thickBot="1" x14ac:dyDescent="0.3">
      <c r="A30" s="2" t="s">
        <v>9017</v>
      </c>
      <c r="B30" s="40">
        <v>45265</v>
      </c>
      <c r="C30" s="2" t="s">
        <v>1</v>
      </c>
      <c r="D30" s="2" t="s">
        <v>0</v>
      </c>
      <c r="E30" s="2" t="s">
        <v>9268</v>
      </c>
      <c r="F30" s="2" t="s">
        <v>9269</v>
      </c>
      <c r="G30" s="33">
        <v>3</v>
      </c>
      <c r="H30" s="38">
        <v>3</v>
      </c>
      <c r="I30" s="39" t="s">
        <v>6517</v>
      </c>
      <c r="J30" s="32" t="s">
        <v>6518</v>
      </c>
      <c r="K30" s="2">
        <v>0</v>
      </c>
      <c r="L30" s="2">
        <v>0</v>
      </c>
      <c r="M30" s="32">
        <v>286.63</v>
      </c>
      <c r="N30" s="2">
        <v>37.261899999999997</v>
      </c>
      <c r="O30" s="2">
        <v>0</v>
      </c>
      <c r="P30" s="2">
        <v>0</v>
      </c>
      <c r="Q30" s="32">
        <v>323.89189999999996</v>
      </c>
      <c r="S30" s="2" t="s">
        <v>1</v>
      </c>
      <c r="T30" s="2"/>
      <c r="U30" s="2"/>
    </row>
    <row r="31" spans="1:21" ht="15.75" hidden="1" thickBot="1" x14ac:dyDescent="0.3">
      <c r="A31" s="2" t="s">
        <v>9017</v>
      </c>
      <c r="B31" s="40">
        <v>45265</v>
      </c>
      <c r="C31" s="2" t="s">
        <v>1</v>
      </c>
      <c r="D31" s="2" t="s">
        <v>0</v>
      </c>
      <c r="E31" s="2" t="s">
        <v>9268</v>
      </c>
      <c r="F31" s="2" t="s">
        <v>9269</v>
      </c>
      <c r="G31" s="33">
        <v>2</v>
      </c>
      <c r="H31" s="38">
        <v>2</v>
      </c>
      <c r="I31" s="39" t="s">
        <v>2641</v>
      </c>
      <c r="J31" s="32" t="s">
        <v>2642</v>
      </c>
      <c r="K31" s="2">
        <v>0</v>
      </c>
      <c r="L31" s="2">
        <v>0</v>
      </c>
      <c r="M31" s="32">
        <v>190.92</v>
      </c>
      <c r="N31" s="2">
        <v>24.819599999999998</v>
      </c>
      <c r="O31" s="2">
        <v>0</v>
      </c>
      <c r="P31" s="2">
        <v>0</v>
      </c>
      <c r="Q31" s="32">
        <v>215.7396</v>
      </c>
      <c r="S31" s="2" t="s">
        <v>1</v>
      </c>
      <c r="T31" s="2"/>
      <c r="U31" s="2"/>
    </row>
    <row r="32" spans="1:21" ht="15.75" hidden="1" thickBot="1" x14ac:dyDescent="0.3">
      <c r="A32" s="2" t="s">
        <v>9017</v>
      </c>
      <c r="B32" s="40">
        <v>45261</v>
      </c>
      <c r="C32" s="2" t="s">
        <v>1</v>
      </c>
      <c r="D32" s="2" t="s">
        <v>0</v>
      </c>
      <c r="E32" s="2" t="s">
        <v>9268</v>
      </c>
      <c r="F32" s="2" t="s">
        <v>9269</v>
      </c>
      <c r="G32" s="33">
        <v>1</v>
      </c>
      <c r="H32" s="38">
        <v>1</v>
      </c>
      <c r="I32" s="39" t="s">
        <v>2579</v>
      </c>
      <c r="J32" s="32" t="s">
        <v>2580</v>
      </c>
      <c r="K32" s="2">
        <v>0</v>
      </c>
      <c r="L32" s="2">
        <v>0</v>
      </c>
      <c r="M32" s="32">
        <v>825</v>
      </c>
      <c r="N32" s="2">
        <v>107.25</v>
      </c>
      <c r="O32" s="2">
        <v>0</v>
      </c>
      <c r="P32" s="2">
        <v>0</v>
      </c>
      <c r="Q32" s="32">
        <v>932.25</v>
      </c>
      <c r="S32" s="2" t="s">
        <v>1</v>
      </c>
      <c r="T32" s="2"/>
      <c r="U32" s="2"/>
    </row>
    <row r="33" spans="1:21" ht="15.75" hidden="1" thickBot="1" x14ac:dyDescent="0.3">
      <c r="A33" s="2" t="s">
        <v>9017</v>
      </c>
      <c r="B33" s="40">
        <v>45261</v>
      </c>
      <c r="C33" s="2" t="s">
        <v>1</v>
      </c>
      <c r="D33" s="2" t="s">
        <v>0</v>
      </c>
      <c r="E33" s="2" t="s">
        <v>9210</v>
      </c>
      <c r="F33" s="2" t="s">
        <v>9211</v>
      </c>
      <c r="G33" s="33">
        <v>250</v>
      </c>
      <c r="H33" s="38">
        <v>250</v>
      </c>
      <c r="I33" s="39" t="s">
        <v>9181</v>
      </c>
      <c r="J33" s="32" t="s">
        <v>9182</v>
      </c>
      <c r="K33" s="2">
        <v>0</v>
      </c>
      <c r="L33" s="2">
        <v>0</v>
      </c>
      <c r="M33" s="32">
        <v>172.5</v>
      </c>
      <c r="N33" s="2">
        <v>22.425000000000001</v>
      </c>
      <c r="O33" s="2">
        <v>0</v>
      </c>
      <c r="P33" s="2">
        <v>0</v>
      </c>
      <c r="Q33" s="32">
        <v>194.92500000000001</v>
      </c>
      <c r="S33" s="2" t="s">
        <v>1</v>
      </c>
      <c r="T33" s="2"/>
      <c r="U33" s="2"/>
    </row>
    <row r="34" spans="1:21" ht="15.75" hidden="1" thickBot="1" x14ac:dyDescent="0.3">
      <c r="A34" s="2" t="s">
        <v>9017</v>
      </c>
      <c r="B34" s="40">
        <v>45261</v>
      </c>
      <c r="C34" s="2" t="s">
        <v>1</v>
      </c>
      <c r="D34" s="2" t="s">
        <v>0</v>
      </c>
      <c r="E34" s="2" t="s">
        <v>9210</v>
      </c>
      <c r="F34" s="2" t="s">
        <v>9211</v>
      </c>
      <c r="G34" s="33">
        <v>249</v>
      </c>
      <c r="H34" s="38">
        <v>249</v>
      </c>
      <c r="I34" s="39" t="s">
        <v>3051</v>
      </c>
      <c r="J34" s="32" t="s">
        <v>3052</v>
      </c>
      <c r="K34" s="2">
        <v>0</v>
      </c>
      <c r="L34" s="2">
        <v>0</v>
      </c>
      <c r="M34" s="32">
        <v>167.29</v>
      </c>
      <c r="N34" s="2">
        <v>21.747699999999998</v>
      </c>
      <c r="O34" s="2">
        <v>0</v>
      </c>
      <c r="P34" s="2">
        <v>0</v>
      </c>
      <c r="Q34" s="32">
        <v>189.0377</v>
      </c>
      <c r="S34" s="2" t="s">
        <v>1</v>
      </c>
      <c r="T34" s="2"/>
      <c r="U34" s="2"/>
    </row>
    <row r="35" spans="1:21" ht="15.75" hidden="1" thickBot="1" x14ac:dyDescent="0.3">
      <c r="A35" s="2" t="s">
        <v>9017</v>
      </c>
      <c r="B35" s="40">
        <v>45261</v>
      </c>
      <c r="C35" s="2" t="s">
        <v>1</v>
      </c>
      <c r="D35" s="2" t="s">
        <v>0</v>
      </c>
      <c r="E35" s="2" t="s">
        <v>9210</v>
      </c>
      <c r="F35" s="2" t="s">
        <v>9211</v>
      </c>
      <c r="G35" s="33">
        <v>248</v>
      </c>
      <c r="H35" s="38">
        <v>248</v>
      </c>
      <c r="I35" s="39" t="s">
        <v>7676</v>
      </c>
      <c r="J35" s="32" t="s">
        <v>7675</v>
      </c>
      <c r="K35" s="2">
        <v>0</v>
      </c>
      <c r="L35" s="2">
        <v>0</v>
      </c>
      <c r="M35" s="32">
        <v>0</v>
      </c>
      <c r="N35" s="2">
        <v>0</v>
      </c>
      <c r="O35" s="2">
        <v>0</v>
      </c>
      <c r="P35" s="2">
        <v>0</v>
      </c>
      <c r="Q35" s="32">
        <v>0</v>
      </c>
      <c r="S35" s="2" t="s">
        <v>1</v>
      </c>
      <c r="T35" s="2"/>
      <c r="U35" s="2"/>
    </row>
    <row r="36" spans="1:21" ht="15.75" hidden="1" thickBot="1" x14ac:dyDescent="0.3">
      <c r="A36" s="2" t="s">
        <v>9017</v>
      </c>
      <c r="B36" s="40">
        <v>45261</v>
      </c>
      <c r="C36" s="2" t="s">
        <v>1</v>
      </c>
      <c r="D36" s="2" t="s">
        <v>0</v>
      </c>
      <c r="E36" s="2" t="s">
        <v>9210</v>
      </c>
      <c r="F36" s="2" t="s">
        <v>9211</v>
      </c>
      <c r="G36" s="33">
        <v>247</v>
      </c>
      <c r="H36" s="38">
        <v>247</v>
      </c>
      <c r="I36" s="39" t="s">
        <v>3411</v>
      </c>
      <c r="J36" s="32" t="s">
        <v>3412</v>
      </c>
      <c r="K36" s="2">
        <v>0</v>
      </c>
      <c r="L36" s="2">
        <v>0</v>
      </c>
      <c r="M36" s="32">
        <v>411.58</v>
      </c>
      <c r="N36" s="2">
        <v>53.505400000000002</v>
      </c>
      <c r="O36" s="2">
        <v>0</v>
      </c>
      <c r="P36" s="2">
        <v>0</v>
      </c>
      <c r="Q36" s="32">
        <v>465.08539999999999</v>
      </c>
      <c r="S36" s="2" t="s">
        <v>1</v>
      </c>
      <c r="T36" s="2"/>
      <c r="U36" s="2"/>
    </row>
    <row r="37" spans="1:21" ht="15.75" hidden="1" thickBot="1" x14ac:dyDescent="0.3">
      <c r="A37" s="2" t="s">
        <v>9017</v>
      </c>
      <c r="B37" s="40">
        <v>45261</v>
      </c>
      <c r="C37" s="2" t="s">
        <v>1</v>
      </c>
      <c r="D37" s="2" t="s">
        <v>0</v>
      </c>
      <c r="E37" s="2" t="s">
        <v>9210</v>
      </c>
      <c r="F37" s="2" t="s">
        <v>9211</v>
      </c>
      <c r="G37" s="33">
        <v>246</v>
      </c>
      <c r="H37" s="38">
        <v>246</v>
      </c>
      <c r="I37" s="39" t="s">
        <v>6499</v>
      </c>
      <c r="J37" s="32" t="s">
        <v>6500</v>
      </c>
      <c r="K37" s="2">
        <v>0</v>
      </c>
      <c r="L37" s="2">
        <v>0</v>
      </c>
      <c r="M37" s="32">
        <v>432.31</v>
      </c>
      <c r="N37" s="2">
        <v>56.200300000000006</v>
      </c>
      <c r="O37" s="2">
        <v>0</v>
      </c>
      <c r="P37" s="2">
        <v>0</v>
      </c>
      <c r="Q37" s="32">
        <v>488.51030000000003</v>
      </c>
      <c r="S37" s="2" t="s">
        <v>1</v>
      </c>
      <c r="T37" s="2"/>
      <c r="U37" s="2"/>
    </row>
    <row r="38" spans="1:21" ht="15.75" hidden="1" thickBot="1" x14ac:dyDescent="0.3">
      <c r="A38" s="2" t="s">
        <v>9017</v>
      </c>
      <c r="B38" s="40">
        <v>45261</v>
      </c>
      <c r="C38" s="2" t="s">
        <v>1</v>
      </c>
      <c r="D38" s="2" t="s">
        <v>0</v>
      </c>
      <c r="E38" s="2" t="s">
        <v>9210</v>
      </c>
      <c r="F38" s="2" t="s">
        <v>9211</v>
      </c>
      <c r="G38" s="33">
        <v>245</v>
      </c>
      <c r="H38" s="38">
        <v>245</v>
      </c>
      <c r="I38" s="39" t="s">
        <v>1320</v>
      </c>
      <c r="J38" s="32" t="s">
        <v>1321</v>
      </c>
      <c r="K38" s="2">
        <v>0</v>
      </c>
      <c r="L38" s="2">
        <v>0</v>
      </c>
      <c r="M38" s="32">
        <v>172.5</v>
      </c>
      <c r="N38" s="2">
        <v>22.425000000000001</v>
      </c>
      <c r="O38" s="2">
        <v>0</v>
      </c>
      <c r="P38" s="2">
        <v>0</v>
      </c>
      <c r="Q38" s="32">
        <v>194.92500000000001</v>
      </c>
      <c r="S38" s="2" t="s">
        <v>1</v>
      </c>
      <c r="T38" s="2"/>
      <c r="U38" s="2"/>
    </row>
    <row r="39" spans="1:21" ht="15.75" hidden="1" thickBot="1" x14ac:dyDescent="0.3">
      <c r="A39" s="2" t="s">
        <v>9016</v>
      </c>
      <c r="B39" s="40">
        <v>45259</v>
      </c>
      <c r="C39" s="2" t="s">
        <v>1</v>
      </c>
      <c r="D39" s="2" t="s">
        <v>0</v>
      </c>
      <c r="E39" s="2" t="s">
        <v>9210</v>
      </c>
      <c r="F39" s="2" t="s">
        <v>9211</v>
      </c>
      <c r="G39" s="33">
        <v>244</v>
      </c>
      <c r="H39" s="38">
        <v>244</v>
      </c>
      <c r="I39" s="39" t="s">
        <v>9216</v>
      </c>
      <c r="J39" s="32" t="s">
        <v>9217</v>
      </c>
      <c r="K39" s="2">
        <v>0</v>
      </c>
      <c r="L39" s="2">
        <v>0</v>
      </c>
      <c r="M39" s="32">
        <v>1483.86</v>
      </c>
      <c r="N39" s="2">
        <v>192.90179999999998</v>
      </c>
      <c r="O39" s="2">
        <v>0</v>
      </c>
      <c r="P39" s="2">
        <v>0</v>
      </c>
      <c r="Q39" s="32">
        <v>1676.7617999999998</v>
      </c>
      <c r="S39" s="2" t="s">
        <v>1</v>
      </c>
      <c r="T39" s="126"/>
      <c r="U39" s="126"/>
    </row>
    <row r="40" spans="1:21" ht="15.75" thickBot="1" x14ac:dyDescent="0.3">
      <c r="A40" s="168"/>
      <c r="B40" s="168"/>
      <c r="C40" s="168"/>
      <c r="D40" s="168"/>
      <c r="E40" s="168"/>
      <c r="F40" s="168"/>
      <c r="G40" s="168"/>
      <c r="H40" s="168"/>
      <c r="I40" s="168"/>
      <c r="J40" s="169"/>
      <c r="K40" s="4">
        <f>+SUBTOTAL(9,Tabla2[VENTA EXENTA])</f>
        <v>0</v>
      </c>
      <c r="L40" s="4">
        <f>+SUBTOTAL(9,Tabla2[VENTA NO SUJETA])</f>
        <v>0</v>
      </c>
      <c r="M40" s="3">
        <f>+SUBTOTAL(9,Tabla2[V. GRAVADA])</f>
        <v>6023.89</v>
      </c>
      <c r="N40" s="4">
        <f>+SUBTOTAL(9,Tabla2[D.FISCAL])</f>
        <v>783.10569999999996</v>
      </c>
      <c r="O40" s="4">
        <f>+SUBTOTAL(9,Tabla2[V CTA DE 3])</f>
        <v>0</v>
      </c>
      <c r="P40" s="4">
        <f>+SUBTOTAL(9,Tabla2[D. FISCAL A 3])</f>
        <v>0</v>
      </c>
      <c r="Q40" s="4">
        <f>+SUBTOTAL(9,Tabla2[VENTA TOTAL])</f>
        <v>6806.9956999999995</v>
      </c>
      <c r="R40" s="31"/>
    </row>
    <row r="4655" spans="20:21" x14ac:dyDescent="0.25">
      <c r="T4655" s="42"/>
      <c r="U4655" s="42"/>
    </row>
    <row r="4775" spans="1:21" s="42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  <c r="T4775"/>
      <c r="U4775"/>
    </row>
    <row r="9637" spans="20:21" x14ac:dyDescent="0.25">
      <c r="T9637" s="2"/>
      <c r="U9637" s="2"/>
    </row>
    <row r="9638" spans="20:21" x14ac:dyDescent="0.25">
      <c r="T9638" s="2"/>
      <c r="U9638" s="2"/>
    </row>
    <row r="9757" spans="1:21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  <c r="U9757"/>
    </row>
    <row r="9758" spans="1:21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  <c r="T9758"/>
      <c r="U9758"/>
    </row>
  </sheetData>
  <mergeCells count="1">
    <mergeCell ref="A40:J40"/>
  </mergeCells>
  <phoneticPr fontId="8" type="noConversion"/>
  <conditionalFormatting sqref="G1:G1048576">
    <cfRule type="duplicateValues" dxfId="112" priority="102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>SUBSTITUTE(A3,"ICIEMBRE","iciembre")</f>
        <v>Diciembre</v>
      </c>
      <c r="C3" s="13">
        <v>44925</v>
      </c>
      <c r="D3" t="s">
        <v>1</v>
      </c>
      <c r="E3" t="s">
        <v>0</v>
      </c>
      <c r="F3" t="str">
        <f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8930</v>
      </c>
      <c r="B28" t="s">
        <v>8931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8850</v>
      </c>
      <c r="B31" t="s">
        <v>8851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8850</v>
      </c>
      <c r="B34" t="s">
        <v>8851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8928</v>
      </c>
      <c r="B77" t="s">
        <v>8929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8927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8925</v>
      </c>
      <c r="B86" t="s">
        <v>8926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8889</v>
      </c>
      <c r="B100" t="s">
        <v>8890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8850</v>
      </c>
      <c r="B106" t="s">
        <v>8851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8889</v>
      </c>
      <c r="B113" t="s">
        <v>8890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8883</v>
      </c>
      <c r="B115" t="s">
        <v>8884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8850</v>
      </c>
      <c r="B120" t="s">
        <v>8851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8850</v>
      </c>
      <c r="B122" t="s">
        <v>8851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8923</v>
      </c>
      <c r="B130" t="s">
        <v>8924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8885</v>
      </c>
      <c r="B150" t="s">
        <v>8886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8907</v>
      </c>
      <c r="B154" t="s">
        <v>8908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8905</v>
      </c>
      <c r="B183" t="s">
        <v>8906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8850</v>
      </c>
      <c r="B208" t="s">
        <v>8851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8820</v>
      </c>
      <c r="B225" t="s">
        <v>8821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8883</v>
      </c>
      <c r="B243" t="s">
        <v>8884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8903</v>
      </c>
      <c r="B245" t="s">
        <v>8904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8901</v>
      </c>
      <c r="B249" t="s">
        <v>8902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8899</v>
      </c>
      <c r="B262" t="s">
        <v>8900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8897</v>
      </c>
      <c r="B315" t="s">
        <v>8898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8895</v>
      </c>
      <c r="B325" t="s">
        <v>8896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8893</v>
      </c>
      <c r="B359" t="s">
        <v>8894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8891</v>
      </c>
      <c r="B396" t="s">
        <v>8892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8889</v>
      </c>
      <c r="B411" t="s">
        <v>8890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8887</v>
      </c>
      <c r="B418" t="s">
        <v>8888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8885</v>
      </c>
      <c r="B435" t="s">
        <v>8886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8883</v>
      </c>
      <c r="B505" t="s">
        <v>8884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8874</v>
      </c>
      <c r="B523" t="s">
        <v>8875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8872</v>
      </c>
      <c r="B537" t="s">
        <v>8873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8850</v>
      </c>
      <c r="B623" t="s">
        <v>8851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8858</v>
      </c>
      <c r="B626" t="s">
        <v>8859</v>
      </c>
    </row>
    <row r="627" spans="1:2" x14ac:dyDescent="0.25">
      <c r="A627" t="s">
        <v>8858</v>
      </c>
      <c r="B627" t="s">
        <v>8859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8856</v>
      </c>
      <c r="B631" t="s">
        <v>8857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8854</v>
      </c>
      <c r="B637" t="s">
        <v>8855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8852</v>
      </c>
      <c r="B643" t="s">
        <v>8853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8850</v>
      </c>
      <c r="B645" t="s">
        <v>8851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8852</v>
      </c>
      <c r="B647" t="s">
        <v>8853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8850</v>
      </c>
      <c r="B656" t="s">
        <v>8851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8824</v>
      </c>
      <c r="B701" t="s">
        <v>8825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8822</v>
      </c>
      <c r="B705" t="s">
        <v>8823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8820</v>
      </c>
      <c r="B841" t="s">
        <v>8821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8818</v>
      </c>
      <c r="B856" t="s">
        <v>8819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8816</v>
      </c>
      <c r="B880" t="s">
        <v>8817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8814</v>
      </c>
      <c r="B904" t="s">
        <v>8815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8812</v>
      </c>
      <c r="B1025" t="s">
        <v>8813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8810</v>
      </c>
      <c r="B1028" t="s">
        <v>8811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8808</v>
      </c>
      <c r="B1068" t="s">
        <v>8809</v>
      </c>
    </row>
    <row r="1069" spans="1:2" x14ac:dyDescent="0.25">
      <c r="A1069" t="s">
        <v>8806</v>
      </c>
      <c r="B1069" t="s">
        <v>8807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8804</v>
      </c>
      <c r="B1090" t="s">
        <v>8805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8802</v>
      </c>
      <c r="B1188" t="s">
        <v>8803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8801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8799</v>
      </c>
      <c r="B1298" t="s">
        <v>8800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8797</v>
      </c>
      <c r="B1326" t="s">
        <v>8798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7944</v>
      </c>
      <c r="XFD2" t="s">
        <v>7944</v>
      </c>
    </row>
    <row r="3" spans="2:4 16384:16384" x14ac:dyDescent="0.25">
      <c r="B3" s="68" t="s">
        <v>2</v>
      </c>
      <c r="D3" s="7" t="s">
        <v>9303</v>
      </c>
      <c r="XFD3" t="s">
        <v>7981</v>
      </c>
    </row>
    <row r="4" spans="2:4 16384:16384" x14ac:dyDescent="0.25">
      <c r="B4" s="68" t="s">
        <v>3</v>
      </c>
      <c r="D4" s="73" t="s">
        <v>1</v>
      </c>
      <c r="XFD4" t="s">
        <v>8153</v>
      </c>
    </row>
    <row r="5" spans="2:4 16384:16384" ht="14.25" customHeight="1" x14ac:dyDescent="0.25">
      <c r="B5" s="69" t="s">
        <v>4</v>
      </c>
      <c r="D5" s="73" t="s">
        <v>7706</v>
      </c>
      <c r="XFD5" t="s">
        <v>8265</v>
      </c>
    </row>
    <row r="6" spans="2:4 16384:16384" ht="14.25" customHeight="1" x14ac:dyDescent="0.25">
      <c r="B6" s="70" t="s">
        <v>69</v>
      </c>
      <c r="D6" s="74" t="s">
        <v>9210</v>
      </c>
      <c r="XFD6" t="s">
        <v>8322</v>
      </c>
    </row>
    <row r="7" spans="2:4 16384:16384" ht="14.25" customHeight="1" x14ac:dyDescent="0.25">
      <c r="B7" s="70" t="s">
        <v>68</v>
      </c>
      <c r="D7" s="74" t="s">
        <v>9213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customHeight="1" x14ac:dyDescent="0.25">
      <c r="B13" s="68" t="s">
        <v>64</v>
      </c>
      <c r="D13" s="108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108">
        <v>0</v>
      </c>
      <c r="XFD14" t="s">
        <v>7944</v>
      </c>
    </row>
    <row r="15" spans="2:4 16384:16384" ht="14.25" customHeight="1" x14ac:dyDescent="0.25">
      <c r="B15" s="68" t="s">
        <v>62</v>
      </c>
      <c r="D15" s="108">
        <v>0</v>
      </c>
      <c r="XFD15" t="s">
        <v>7981</v>
      </c>
    </row>
    <row r="16" spans="2:4 16384:16384" ht="14.25" customHeight="1" x14ac:dyDescent="0.25">
      <c r="B16" s="68" t="s">
        <v>61</v>
      </c>
      <c r="D16" s="108">
        <v>0</v>
      </c>
      <c r="XFD16" t="s">
        <v>8153</v>
      </c>
    </row>
    <row r="17" spans="2:4" hidden="1" x14ac:dyDescent="0.25">
      <c r="B17" s="68" t="s">
        <v>60</v>
      </c>
      <c r="D17" s="71">
        <v>0</v>
      </c>
    </row>
    <row r="18" spans="2:4" hidden="1" x14ac:dyDescent="0.25">
      <c r="B18" s="68" t="s">
        <v>59</v>
      </c>
      <c r="D18" s="71">
        <v>0</v>
      </c>
    </row>
    <row r="19" spans="2:4" x14ac:dyDescent="0.25">
      <c r="B19" s="68" t="s">
        <v>58</v>
      </c>
      <c r="D19" s="108">
        <v>0</v>
      </c>
    </row>
    <row r="20" spans="2:4" x14ac:dyDescent="0.25">
      <c r="B20" s="68" t="s">
        <v>57</v>
      </c>
      <c r="D20" s="71">
        <v>0</v>
      </c>
    </row>
    <row r="21" spans="2:4" x14ac:dyDescent="0.25">
      <c r="B21" s="68" t="s">
        <v>56</v>
      </c>
      <c r="D21" s="71">
        <v>0</v>
      </c>
    </row>
    <row r="22" spans="2:4" x14ac:dyDescent="0.25">
      <c r="B22" s="68" t="s">
        <v>19</v>
      </c>
      <c r="D22" s="71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6"/>
  <sheetViews>
    <sheetView topLeftCell="F1" workbookViewId="0">
      <selection activeCell="S3" sqref="S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9303</v>
      </c>
      <c r="C3" t="s">
        <v>1</v>
      </c>
      <c r="D3" t="s">
        <v>7706</v>
      </c>
      <c r="E3" t="s">
        <v>9210</v>
      </c>
      <c r="F3" t="s">
        <v>9213</v>
      </c>
      <c r="G3">
        <v>77</v>
      </c>
      <c r="H3">
        <v>77</v>
      </c>
      <c r="I3">
        <v>77</v>
      </c>
      <c r="J3">
        <v>77</v>
      </c>
      <c r="K3">
        <v>0</v>
      </c>
      <c r="L3" s="2">
        <v>332.58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332.58</v>
      </c>
      <c r="V3" t="s">
        <v>55</v>
      </c>
    </row>
    <row r="4" spans="1:22" x14ac:dyDescent="0.25">
      <c r="A4" t="s">
        <v>7944</v>
      </c>
      <c r="B4" t="s">
        <v>9303</v>
      </c>
      <c r="C4" t="s">
        <v>1</v>
      </c>
      <c r="D4" t="s">
        <v>7706</v>
      </c>
      <c r="E4" t="s">
        <v>9210</v>
      </c>
      <c r="F4" t="s">
        <v>9213</v>
      </c>
      <c r="G4">
        <v>76</v>
      </c>
      <c r="H4">
        <v>76</v>
      </c>
      <c r="I4">
        <v>76</v>
      </c>
      <c r="J4">
        <v>76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2" x14ac:dyDescent="0.25">
      <c r="A5" t="s">
        <v>7944</v>
      </c>
      <c r="B5" t="s">
        <v>9303</v>
      </c>
      <c r="C5" t="s">
        <v>1</v>
      </c>
      <c r="D5" t="s">
        <v>7706</v>
      </c>
      <c r="E5" t="s">
        <v>9210</v>
      </c>
      <c r="F5" t="s">
        <v>9213</v>
      </c>
      <c r="G5">
        <v>75</v>
      </c>
      <c r="H5">
        <v>75</v>
      </c>
      <c r="I5">
        <v>75</v>
      </c>
      <c r="J5">
        <v>75</v>
      </c>
      <c r="K5">
        <v>0</v>
      </c>
      <c r="L5" s="2">
        <v>332.25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332.25</v>
      </c>
      <c r="V5" t="s">
        <v>55</v>
      </c>
    </row>
    <row r="6" spans="1:22" x14ac:dyDescent="0.25">
      <c r="A6" t="s">
        <v>7944</v>
      </c>
      <c r="B6" t="s">
        <v>9303</v>
      </c>
      <c r="C6" t="s">
        <v>1</v>
      </c>
      <c r="D6" t="s">
        <v>7706</v>
      </c>
      <c r="E6" t="s">
        <v>9210</v>
      </c>
      <c r="F6" t="s">
        <v>9213</v>
      </c>
      <c r="G6">
        <v>74</v>
      </c>
      <c r="H6">
        <v>74</v>
      </c>
      <c r="I6">
        <v>74</v>
      </c>
      <c r="J6">
        <v>74</v>
      </c>
      <c r="K6">
        <v>0</v>
      </c>
      <c r="L6" s="2">
        <v>220.5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220.5</v>
      </c>
      <c r="V6" t="s">
        <v>55</v>
      </c>
    </row>
    <row r="7" spans="1:22" x14ac:dyDescent="0.25">
      <c r="A7" t="s">
        <v>7944</v>
      </c>
      <c r="B7" t="s">
        <v>9303</v>
      </c>
      <c r="C7" t="s">
        <v>1</v>
      </c>
      <c r="D7" t="s">
        <v>7706</v>
      </c>
      <c r="E7" t="s">
        <v>9210</v>
      </c>
      <c r="F7" t="s">
        <v>9213</v>
      </c>
      <c r="G7">
        <v>73</v>
      </c>
      <c r="H7">
        <v>73</v>
      </c>
      <c r="I7">
        <v>73</v>
      </c>
      <c r="J7">
        <v>73</v>
      </c>
      <c r="K7">
        <v>0</v>
      </c>
      <c r="L7" s="2">
        <v>445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445</v>
      </c>
      <c r="V7" t="s">
        <v>55</v>
      </c>
    </row>
    <row r="8" spans="1:22" ht="15.75" thickBot="1" x14ac:dyDescent="0.3">
      <c r="A8" t="s">
        <v>7944</v>
      </c>
      <c r="B8" t="s">
        <v>9302</v>
      </c>
      <c r="C8" t="s">
        <v>1</v>
      </c>
      <c r="D8" s="21" t="s">
        <v>9226</v>
      </c>
      <c r="E8" t="s">
        <v>9210</v>
      </c>
      <c r="F8" t="s">
        <v>9212</v>
      </c>
      <c r="G8">
        <v>24</v>
      </c>
      <c r="H8">
        <v>24</v>
      </c>
      <c r="I8">
        <v>24</v>
      </c>
      <c r="J8">
        <v>24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1183.97</v>
      </c>
      <c r="S8" s="2">
        <v>0</v>
      </c>
      <c r="T8" s="2">
        <v>0</v>
      </c>
      <c r="U8" s="2">
        <v>1183.97</v>
      </c>
      <c r="V8" t="s">
        <v>55</v>
      </c>
    </row>
    <row r="9" spans="1:22" ht="15.75" hidden="1" thickBot="1" x14ac:dyDescent="0.3">
      <c r="A9" t="s">
        <v>8329</v>
      </c>
      <c r="B9" t="s">
        <v>9266</v>
      </c>
      <c r="C9" t="s">
        <v>1</v>
      </c>
      <c r="D9" t="s">
        <v>7706</v>
      </c>
      <c r="E9" t="s">
        <v>9210</v>
      </c>
      <c r="F9" t="s">
        <v>9213</v>
      </c>
      <c r="G9">
        <v>72</v>
      </c>
      <c r="H9">
        <v>72</v>
      </c>
      <c r="I9">
        <v>72</v>
      </c>
      <c r="J9">
        <v>72</v>
      </c>
      <c r="K9">
        <v>0</v>
      </c>
      <c r="L9" s="2">
        <v>0</v>
      </c>
      <c r="M9" s="2">
        <v>0</v>
      </c>
      <c r="N9" s="2">
        <v>0</v>
      </c>
      <c r="O9" s="2">
        <v>220.5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220.5</v>
      </c>
      <c r="V9" t="s">
        <v>55</v>
      </c>
    </row>
    <row r="10" spans="1:22" ht="15.75" hidden="1" thickBot="1" x14ac:dyDescent="0.3">
      <c r="A10" t="s">
        <v>8329</v>
      </c>
      <c r="B10" t="s">
        <v>9266</v>
      </c>
      <c r="C10" t="s">
        <v>1</v>
      </c>
      <c r="D10" t="s">
        <v>7706</v>
      </c>
      <c r="E10" t="s">
        <v>9210</v>
      </c>
      <c r="F10" t="s">
        <v>9213</v>
      </c>
      <c r="G10">
        <v>71</v>
      </c>
      <c r="H10">
        <v>71</v>
      </c>
      <c r="I10">
        <v>71</v>
      </c>
      <c r="J10">
        <v>71</v>
      </c>
      <c r="K10">
        <v>0</v>
      </c>
      <c r="L10" s="2">
        <v>445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445</v>
      </c>
      <c r="V10" t="s">
        <v>55</v>
      </c>
    </row>
    <row r="11" spans="1:22" ht="15.75" hidden="1" thickBot="1" x14ac:dyDescent="0.3">
      <c r="A11" t="s">
        <v>8329</v>
      </c>
      <c r="B11" t="s">
        <v>9266</v>
      </c>
      <c r="C11" t="s">
        <v>1</v>
      </c>
      <c r="D11" t="s">
        <v>7706</v>
      </c>
      <c r="E11" t="s">
        <v>9210</v>
      </c>
      <c r="F11" t="s">
        <v>9213</v>
      </c>
      <c r="G11">
        <v>70</v>
      </c>
      <c r="H11">
        <v>70</v>
      </c>
      <c r="I11">
        <v>70</v>
      </c>
      <c r="J11">
        <v>70</v>
      </c>
      <c r="K11">
        <v>0</v>
      </c>
      <c r="L11" s="2">
        <v>289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289</v>
      </c>
      <c r="V11" t="s">
        <v>55</v>
      </c>
    </row>
    <row r="12" spans="1:22" ht="15.75" hidden="1" thickBot="1" x14ac:dyDescent="0.3">
      <c r="A12" t="s">
        <v>8329</v>
      </c>
      <c r="B12" t="s">
        <v>9267</v>
      </c>
      <c r="C12" t="s">
        <v>1</v>
      </c>
      <c r="D12" t="s">
        <v>9226</v>
      </c>
      <c r="E12" t="s">
        <v>9210</v>
      </c>
      <c r="F12" t="s">
        <v>9212</v>
      </c>
      <c r="G12">
        <v>23</v>
      </c>
      <c r="H12">
        <v>23</v>
      </c>
      <c r="I12">
        <v>23</v>
      </c>
      <c r="J12">
        <v>23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1183.97</v>
      </c>
      <c r="S12" s="2">
        <v>0</v>
      </c>
      <c r="T12" s="2">
        <v>0</v>
      </c>
      <c r="U12" s="2">
        <v>1183.97</v>
      </c>
      <c r="V12" t="s">
        <v>55</v>
      </c>
    </row>
    <row r="13" spans="1:22" ht="15.75" thickBot="1" x14ac:dyDescent="0.3">
      <c r="A13" s="167" t="s">
        <v>76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9"/>
      <c r="L13" s="4">
        <f>+SUBTOTAL(9,Tabla3[V EXENTA])</f>
        <v>1330.33</v>
      </c>
      <c r="M13" s="4">
        <f>+SUBTOTAL(9,Tabla3[VENTAS NO])</f>
        <v>0</v>
      </c>
      <c r="N13" s="4">
        <f>+SUBTOTAL(9,Tabla3[V NO SUJETAS])</f>
        <v>0</v>
      </c>
      <c r="O13" s="4">
        <f>+SUBTOTAL(9,Tabla3[V GRAVADAS])</f>
        <v>0</v>
      </c>
      <c r="P13" s="4">
        <f>+SUBTOTAL(9,Tabla3[EX IN CA])</f>
        <v>0</v>
      </c>
      <c r="Q13" s="4">
        <f>+SUBTOTAL(9,Tabla3[EX OUT CA])</f>
        <v>0</v>
      </c>
      <c r="R13" s="4">
        <f>+SUBTOTAL(9,Tabla3[EX SERVICE])</f>
        <v>1183.97</v>
      </c>
      <c r="S13" s="4">
        <f>+SUBTOTAL(9,Tabla3[V ZONA FRAN])</f>
        <v>0</v>
      </c>
      <c r="T13" s="4">
        <f>+SUBTOTAL(9,Tabla3[V CTA A 3ERO])</f>
        <v>0</v>
      </c>
      <c r="U13" s="4">
        <f>+SUBTOTAL(9,Tabla3[TOTAL VENTA])</f>
        <v>2514.3000000000002</v>
      </c>
    </row>
    <row r="14" spans="1:22" x14ac:dyDescent="0.25">
      <c r="O14" s="128">
        <f>O13/1.13</f>
        <v>0</v>
      </c>
    </row>
    <row r="15" spans="1:22" x14ac:dyDescent="0.25">
      <c r="L15" s="2">
        <f>L13/1.13</f>
        <v>1177.283185840708</v>
      </c>
      <c r="O15" s="129">
        <f>O14*0.13</f>
        <v>0</v>
      </c>
    </row>
    <row r="16" spans="1:22" x14ac:dyDescent="0.25">
      <c r="L16" s="2">
        <f>L15*0.13</f>
        <v>153.04681415929204</v>
      </c>
    </row>
  </sheetData>
  <mergeCells count="1">
    <mergeCell ref="A13:K1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>MONTH(E2)</f>
        <v>12</v>
      </c>
      <c r="E2" t="s">
        <v>8921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>SUBSTITUTE(B3,"ICIEMBRE","iciembre")</f>
        <v>Diciembre</v>
      </c>
      <c r="D3">
        <f>MONTH(E3)</f>
        <v>12</v>
      </c>
      <c r="E3" t="s">
        <v>8921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1" t="s">
        <v>8481</v>
      </c>
      <c r="Z3" t="str">
        <f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H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8" ht="49.5" customHeight="1" x14ac:dyDescent="0.25"/>
    <row r="2" spans="2:8" ht="27" customHeight="1" thickBot="1" x14ac:dyDescent="0.3">
      <c r="D2" t="str">
        <f>VLOOKUP(D5,'base de clientes'!A:B,2,FALSE)</f>
        <v>PRODUCTOS CARNICOS, S.A. DE C.V.</v>
      </c>
    </row>
    <row r="3" spans="2:8" x14ac:dyDescent="0.25">
      <c r="B3" s="23" t="s">
        <v>17</v>
      </c>
      <c r="D3" s="25" t="s">
        <v>7944</v>
      </c>
    </row>
    <row r="4" spans="2:8" hidden="1" x14ac:dyDescent="0.25">
      <c r="B4" s="23" t="s">
        <v>7735</v>
      </c>
      <c r="D4" s="27"/>
    </row>
    <row r="5" spans="2:8" x14ac:dyDescent="0.25">
      <c r="B5" s="23" t="s">
        <v>6</v>
      </c>
      <c r="D5" s="49" t="s">
        <v>3103</v>
      </c>
      <c r="H5">
        <f>LEN(D8)</f>
        <v>40</v>
      </c>
    </row>
    <row r="6" spans="2:8" x14ac:dyDescent="0.25">
      <c r="B6" s="23" t="s">
        <v>2</v>
      </c>
      <c r="D6" s="50"/>
      <c r="F6" s="13"/>
      <c r="H6">
        <f>LEN(D9)</f>
        <v>0</v>
      </c>
    </row>
    <row r="7" spans="2:8" x14ac:dyDescent="0.25">
      <c r="B7" s="23" t="s">
        <v>4</v>
      </c>
      <c r="D7" s="51" t="s">
        <v>8264</v>
      </c>
    </row>
    <row r="8" spans="2:8" x14ac:dyDescent="0.25">
      <c r="B8" s="23" t="s">
        <v>68</v>
      </c>
      <c r="D8" s="124" t="s">
        <v>9361</v>
      </c>
    </row>
    <row r="9" spans="2:8" x14ac:dyDescent="0.25">
      <c r="B9" s="23" t="s">
        <v>5</v>
      </c>
      <c r="D9" s="124"/>
    </row>
    <row r="10" spans="2:8" x14ac:dyDescent="0.25">
      <c r="B10" s="23" t="s">
        <v>7898</v>
      </c>
      <c r="D10" s="28">
        <v>0</v>
      </c>
      <c r="F10" s="2"/>
    </row>
    <row r="11" spans="2:8" x14ac:dyDescent="0.25">
      <c r="B11" s="23" t="s">
        <v>7899</v>
      </c>
      <c r="D11" s="5">
        <f>D10*0.01</f>
        <v>0</v>
      </c>
      <c r="F11" s="2"/>
    </row>
    <row r="12" spans="2:8" x14ac:dyDescent="0.25">
      <c r="B12" s="23" t="s">
        <v>7900</v>
      </c>
      <c r="D12" s="30">
        <v>7</v>
      </c>
    </row>
  </sheetData>
  <dataValidations count="3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  <dataValidation type="textLength" errorStyle="warning" operator="lessThanOrEqual" allowBlank="1" showInputMessage="1" showErrorMessage="1" errorTitle="Error " error="SERIE DEL DOCUMENTO_x000a_MAXIMO DE 8 CARACTERES_x000a_alfanumérica, corresponderá al número de serie autorizado por la Administración Tributaria, letra mayúscula cuando aplique. (Ejemplo:00SD000C)._x000a_" sqref="D8:D9" xr:uid="{742FFABC-EF7A-423D-B894-505DD3E4A544}">
      <formula1>101</formula1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28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38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3103</v>
      </c>
      <c r="D2" s="13">
        <v>45322</v>
      </c>
      <c r="E2" t="s">
        <v>8264</v>
      </c>
      <c r="F2" t="s">
        <v>9361</v>
      </c>
      <c r="G2" t="s">
        <v>9362</v>
      </c>
      <c r="H2" s="2">
        <v>432.26</v>
      </c>
      <c r="I2" s="2">
        <v>4.3226000000000004</v>
      </c>
      <c r="J2">
        <v>7</v>
      </c>
    </row>
    <row r="3" spans="1:10" s="18" customFormat="1" x14ac:dyDescent="0.25">
      <c r="A3" t="s">
        <v>7944</v>
      </c>
      <c r="B3"/>
      <c r="C3" t="s">
        <v>2641</v>
      </c>
      <c r="D3" s="13">
        <v>45320</v>
      </c>
      <c r="E3" t="s">
        <v>8264</v>
      </c>
      <c r="F3" t="s">
        <v>9359</v>
      </c>
      <c r="G3" t="s">
        <v>9360</v>
      </c>
      <c r="H3" s="2">
        <v>190.92</v>
      </c>
      <c r="I3" s="2">
        <v>1.9092</v>
      </c>
      <c r="J3">
        <v>7</v>
      </c>
    </row>
    <row r="4" spans="1:10" s="18" customFormat="1" x14ac:dyDescent="0.25">
      <c r="A4" t="s">
        <v>7944</v>
      </c>
      <c r="B4"/>
      <c r="C4" t="s">
        <v>2579</v>
      </c>
      <c r="D4" s="13">
        <v>45316</v>
      </c>
      <c r="E4" t="s">
        <v>8264</v>
      </c>
      <c r="F4" t="s">
        <v>9357</v>
      </c>
      <c r="G4" t="s">
        <v>9358</v>
      </c>
      <c r="H4" s="2">
        <v>825</v>
      </c>
      <c r="I4" s="2">
        <v>8.25</v>
      </c>
      <c r="J4">
        <v>7</v>
      </c>
    </row>
    <row r="5" spans="1:10" s="18" customFormat="1" x14ac:dyDescent="0.25">
      <c r="A5" t="s">
        <v>7944</v>
      </c>
      <c r="B5"/>
      <c r="C5" t="s">
        <v>1470</v>
      </c>
      <c r="D5" s="13">
        <v>45313</v>
      </c>
      <c r="E5" t="s">
        <v>8264</v>
      </c>
      <c r="F5" t="s">
        <v>9355</v>
      </c>
      <c r="G5" t="s">
        <v>9356</v>
      </c>
      <c r="H5" s="2">
        <v>1106</v>
      </c>
      <c r="I5" s="2">
        <v>11.06</v>
      </c>
      <c r="J5">
        <v>7</v>
      </c>
    </row>
    <row r="6" spans="1:10" s="18" customFormat="1" x14ac:dyDescent="0.25">
      <c r="A6" t="s">
        <v>7944</v>
      </c>
      <c r="B6"/>
      <c r="C6" t="s">
        <v>1470</v>
      </c>
      <c r="D6" s="13">
        <v>45314</v>
      </c>
      <c r="E6" t="s">
        <v>8264</v>
      </c>
      <c r="F6" t="s">
        <v>9353</v>
      </c>
      <c r="G6" t="s">
        <v>9354</v>
      </c>
      <c r="H6" s="2">
        <v>768.02</v>
      </c>
      <c r="I6" s="2">
        <v>7.6802000000000001</v>
      </c>
      <c r="J6">
        <v>7</v>
      </c>
    </row>
    <row r="7" spans="1:10" s="18" customFormat="1" x14ac:dyDescent="0.25">
      <c r="A7" t="s">
        <v>7944</v>
      </c>
      <c r="B7"/>
      <c r="C7" t="s">
        <v>1529</v>
      </c>
      <c r="D7" s="13">
        <v>45291</v>
      </c>
      <c r="E7" t="s">
        <v>8264</v>
      </c>
      <c r="F7" t="s">
        <v>9214</v>
      </c>
      <c r="G7" t="s">
        <v>9352</v>
      </c>
      <c r="H7" s="2">
        <v>15540</v>
      </c>
      <c r="I7" s="2">
        <v>155.4</v>
      </c>
      <c r="J7">
        <v>7</v>
      </c>
    </row>
    <row r="8" spans="1:10" s="18" customFormat="1" x14ac:dyDescent="0.25">
      <c r="A8" t="s">
        <v>7944</v>
      </c>
      <c r="B8"/>
      <c r="C8" t="s">
        <v>3051</v>
      </c>
      <c r="D8" s="13">
        <v>45264</v>
      </c>
      <c r="E8" t="s">
        <v>8264</v>
      </c>
      <c r="F8" t="s">
        <v>9215</v>
      </c>
      <c r="G8" t="s">
        <v>9351</v>
      </c>
      <c r="H8" s="2">
        <v>167.29</v>
      </c>
      <c r="I8" s="2">
        <v>1.6729000000000001</v>
      </c>
      <c r="J8">
        <v>7</v>
      </c>
    </row>
    <row r="9" spans="1:10" s="18" customFormat="1" x14ac:dyDescent="0.25">
      <c r="A9" t="s">
        <v>7944</v>
      </c>
      <c r="B9"/>
      <c r="C9" t="s">
        <v>3411</v>
      </c>
      <c r="D9" s="13">
        <v>45264</v>
      </c>
      <c r="E9" t="s">
        <v>8264</v>
      </c>
      <c r="F9" t="s">
        <v>9215</v>
      </c>
      <c r="G9" t="s">
        <v>9350</v>
      </c>
      <c r="H9" s="2">
        <v>411.56</v>
      </c>
      <c r="I9" s="2">
        <v>4.1155999999999997</v>
      </c>
      <c r="J9">
        <v>7</v>
      </c>
    </row>
    <row r="10" spans="1:10" s="18" customFormat="1" x14ac:dyDescent="0.25">
      <c r="A10"/>
      <c r="B10"/>
      <c r="C10"/>
      <c r="D10" s="13"/>
      <c r="E10"/>
      <c r="F10"/>
      <c r="G10"/>
      <c r="H10" s="2"/>
      <c r="I10" s="2"/>
      <c r="J10"/>
    </row>
    <row r="11" spans="1:10" s="18" customFormat="1" x14ac:dyDescent="0.25">
      <c r="A11" t="s">
        <v>7719</v>
      </c>
      <c r="B11"/>
      <c r="C11"/>
      <c r="D11" s="13"/>
      <c r="E11" s="15">
        <f>SUBTOTAL(109,Tabla6[Tipo de documento])</f>
        <v>0</v>
      </c>
      <c r="F11" s="15">
        <f>SUBTOTAL(109,Tabla6[Serie])</f>
        <v>0</v>
      </c>
      <c r="G11" s="15"/>
      <c r="H11" s="36">
        <f>SUBTOTAL(109,Tabla6[Monto sujeto])</f>
        <v>19441.050000000003</v>
      </c>
      <c r="I11" s="36">
        <f>SUBTOTAL(109,Tabla6[Monto Retención 1%])</f>
        <v>194.41050000000001</v>
      </c>
      <c r="J11" s="19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ht="30" customHeigh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0"/>
      <c r="I276" s="80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0"/>
      <c r="I277" s="80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0"/>
      <c r="I278" s="80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0"/>
      <c r="I279" s="80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80"/>
      <c r="I280" s="80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80"/>
      <c r="I281" s="80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80"/>
      <c r="I282" s="80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80"/>
      <c r="I283" s="80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80"/>
      <c r="I284" s="80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80"/>
      <c r="I285" s="80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80"/>
      <c r="I286" s="80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80"/>
      <c r="I287" s="80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80"/>
      <c r="I288" s="80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80"/>
      <c r="I289" s="80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80"/>
      <c r="I290" s="80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80"/>
      <c r="I291" s="80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80"/>
      <c r="I292" s="80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80"/>
      <c r="I293" s="80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80"/>
      <c r="I294" s="80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80"/>
      <c r="I295" s="80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80"/>
      <c r="I296" s="80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80"/>
      <c r="I297" s="80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80"/>
      <c r="I298" s="80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80"/>
      <c r="I299" s="80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80"/>
      <c r="I300" s="80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80"/>
      <c r="I301" s="80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80"/>
      <c r="I302" s="80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80"/>
      <c r="I303" s="80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80"/>
      <c r="I304" s="80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80"/>
      <c r="I305" s="80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80"/>
      <c r="I306" s="80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80"/>
      <c r="I307" s="80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80"/>
      <c r="I308" s="80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80"/>
      <c r="I309" s="80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80"/>
      <c r="I310" s="80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80"/>
      <c r="I311" s="80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80"/>
      <c r="I312" s="80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80"/>
      <c r="I313" s="80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80"/>
      <c r="I314" s="80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80"/>
      <c r="I315" s="80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80"/>
      <c r="I316" s="80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80"/>
      <c r="I317" s="80"/>
      <c r="J317" s="1"/>
    </row>
    <row r="318" spans="1:10" s="18" customFormat="1" x14ac:dyDescent="0.25">
      <c r="A318" s="1"/>
      <c r="B318" s="1"/>
      <c r="C318" s="1"/>
      <c r="D318" s="13"/>
      <c r="E318" s="1"/>
      <c r="F318" s="1"/>
      <c r="G318" s="19"/>
      <c r="H318" s="80"/>
      <c r="I318" s="80"/>
      <c r="J318" s="1"/>
    </row>
    <row r="319" spans="1:10" s="18" customFormat="1" x14ac:dyDescent="0.25">
      <c r="A319" s="1"/>
      <c r="B319" s="1"/>
      <c r="C319" s="1"/>
      <c r="D319" s="13"/>
      <c r="E319" s="1"/>
      <c r="F319" s="1"/>
      <c r="G319" s="19"/>
      <c r="H319" s="80"/>
      <c r="I319" s="80"/>
      <c r="J319" s="1"/>
    </row>
    <row r="320" spans="1:10" s="18" customFormat="1" x14ac:dyDescent="0.25">
      <c r="A320" s="1"/>
      <c r="B320" s="1"/>
      <c r="C320" s="1"/>
      <c r="D320" s="13"/>
      <c r="E320" s="1"/>
      <c r="F320" s="1"/>
      <c r="G320" s="19"/>
      <c r="H320" s="80"/>
      <c r="I320" s="80"/>
      <c r="J320" s="1"/>
    </row>
    <row r="321" spans="1:10" s="18" customFormat="1" x14ac:dyDescent="0.25">
      <c r="A321" s="1"/>
      <c r="B321" s="1"/>
      <c r="C321" s="1"/>
      <c r="D321" s="13"/>
      <c r="E321" s="1"/>
      <c r="F321" s="1"/>
      <c r="G321" s="19"/>
      <c r="H321" s="80"/>
      <c r="I321" s="80"/>
      <c r="J321" s="1"/>
    </row>
    <row r="322" spans="1:10" s="18" customFormat="1" x14ac:dyDescent="0.25">
      <c r="A322" s="1"/>
      <c r="B322" s="1"/>
      <c r="C322" s="1"/>
      <c r="D322" s="13"/>
      <c r="E322" s="1"/>
      <c r="F322" s="1"/>
      <c r="G322" s="19"/>
      <c r="H322" s="80"/>
      <c r="I322" s="80"/>
      <c r="J322" s="1"/>
    </row>
    <row r="323" spans="1:10" s="18" customFormat="1" x14ac:dyDescent="0.25">
      <c r="A323" s="1"/>
      <c r="B323" s="1"/>
      <c r="C323" s="1"/>
      <c r="D323" s="13"/>
      <c r="E323" s="1"/>
      <c r="F323" s="1"/>
      <c r="G323" s="19"/>
      <c r="H323" s="80"/>
      <c r="I323" s="80"/>
      <c r="J323" s="1"/>
    </row>
    <row r="324" spans="1:10" s="18" customFormat="1" x14ac:dyDescent="0.25">
      <c r="A324" s="1"/>
      <c r="B324" s="1"/>
      <c r="C324" s="1"/>
      <c r="D324" s="13"/>
      <c r="E324" s="1"/>
      <c r="F324" s="1"/>
      <c r="G324" s="19"/>
      <c r="H324" s="80"/>
      <c r="I324" s="80"/>
      <c r="J324" s="1"/>
    </row>
    <row r="325" spans="1:10" s="18" customFormat="1" x14ac:dyDescent="0.25">
      <c r="A325" s="1"/>
      <c r="B325" s="1"/>
      <c r="C325" s="1"/>
      <c r="D325" s="13"/>
      <c r="E325" s="1"/>
      <c r="F325" s="1"/>
      <c r="G325" s="19"/>
      <c r="H325" s="80"/>
      <c r="I325" s="80"/>
      <c r="J325" s="1"/>
    </row>
    <row r="326" spans="1:10" s="18" customFormat="1" x14ac:dyDescent="0.25">
      <c r="A326" s="1"/>
      <c r="B326" s="1"/>
      <c r="C326" s="1"/>
      <c r="D326" s="13"/>
      <c r="E326" s="1"/>
      <c r="F326" s="1"/>
      <c r="G326" s="19"/>
      <c r="H326" s="80"/>
      <c r="I326" s="80"/>
      <c r="J326" s="1"/>
    </row>
    <row r="327" spans="1:10" s="18" customFormat="1" x14ac:dyDescent="0.25">
      <c r="A327" s="1"/>
      <c r="B327" s="1"/>
      <c r="C327" s="1"/>
      <c r="D327" s="13"/>
      <c r="E327" s="1"/>
      <c r="F327" s="1"/>
      <c r="G327" s="19"/>
      <c r="H327" s="80"/>
      <c r="I327" s="80"/>
      <c r="J327" s="1"/>
    </row>
    <row r="328" spans="1:10" s="18" customFormat="1" x14ac:dyDescent="0.25">
      <c r="A328" s="1"/>
      <c r="B328" s="1"/>
      <c r="C328" s="1"/>
      <c r="D328" s="13"/>
      <c r="E328" s="1"/>
      <c r="F328" s="1"/>
      <c r="G328" s="19"/>
      <c r="H328" s="80"/>
      <c r="I328" s="80"/>
      <c r="J328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53"/>
  <sheetViews>
    <sheetView topLeftCell="A4517" workbookViewId="0">
      <selection activeCell="B4554" sqref="B455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8797</v>
      </c>
      <c r="B427" t="s">
        <v>8798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8799</v>
      </c>
      <c r="B429" t="s">
        <v>8800</v>
      </c>
    </row>
    <row r="430" spans="1:2" x14ac:dyDescent="0.25">
      <c r="A430" s="1" t="s">
        <v>8626</v>
      </c>
      <c r="B430" t="s">
        <v>8801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8847</v>
      </c>
      <c r="B536" t="s">
        <v>8848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16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18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8802</v>
      </c>
      <c r="B4332" t="s">
        <v>8803</v>
      </c>
    </row>
    <row r="4333" spans="1:2" x14ac:dyDescent="0.25">
      <c r="A4333" s="14" t="s">
        <v>8804</v>
      </c>
      <c r="B4333" t="s">
        <v>8805</v>
      </c>
    </row>
    <row r="4334" spans="1:2" x14ac:dyDescent="0.25">
      <c r="A4334" s="14" t="s">
        <v>8806</v>
      </c>
      <c r="B4334" t="s">
        <v>8807</v>
      </c>
    </row>
    <row r="4335" spans="1:2" x14ac:dyDescent="0.25">
      <c r="A4335" s="14" t="s">
        <v>8808</v>
      </c>
      <c r="B4335" t="s">
        <v>8809</v>
      </c>
    </row>
    <row r="4336" spans="1:2" x14ac:dyDescent="0.25">
      <c r="A4336" s="14" t="s">
        <v>8810</v>
      </c>
      <c r="B4336" t="s">
        <v>8811</v>
      </c>
    </row>
    <row r="4337" spans="1:2" x14ac:dyDescent="0.25">
      <c r="A4337" s="14" t="s">
        <v>8812</v>
      </c>
      <c r="B4337" t="s">
        <v>8813</v>
      </c>
    </row>
    <row r="4338" spans="1:2" x14ac:dyDescent="0.25">
      <c r="A4338" s="14" t="s">
        <v>8814</v>
      </c>
      <c r="B4338" t="s">
        <v>8815</v>
      </c>
    </row>
    <row r="4339" spans="1:2" x14ac:dyDescent="0.25">
      <c r="A4339" s="14" t="s">
        <v>8816</v>
      </c>
      <c r="B4339" t="s">
        <v>8817</v>
      </c>
    </row>
    <row r="4340" spans="1:2" x14ac:dyDescent="0.25">
      <c r="A4340" s="14" t="s">
        <v>8818</v>
      </c>
      <c r="B4340" t="s">
        <v>8819</v>
      </c>
    </row>
    <row r="4341" spans="1:2" x14ac:dyDescent="0.25">
      <c r="A4341" s="1" t="s">
        <v>8820</v>
      </c>
      <c r="B4341" t="s">
        <v>8821</v>
      </c>
    </row>
    <row r="4342" spans="1:2" x14ac:dyDescent="0.25">
      <c r="A4342" s="1" t="s">
        <v>8822</v>
      </c>
      <c r="B4342" t="s">
        <v>8823</v>
      </c>
    </row>
    <row r="4343" spans="1:2" x14ac:dyDescent="0.25">
      <c r="A4343" s="1" t="s">
        <v>8824</v>
      </c>
      <c r="B4343" t="s">
        <v>8825</v>
      </c>
    </row>
    <row r="4344" spans="1:2" x14ac:dyDescent="0.25">
      <c r="A4344" s="22" t="s">
        <v>8850</v>
      </c>
      <c r="B4344" t="s">
        <v>8851</v>
      </c>
    </row>
    <row r="4345" spans="1:2" x14ac:dyDescent="0.25">
      <c r="A4345" s="1" t="s">
        <v>8852</v>
      </c>
      <c r="B4345" t="s">
        <v>8853</v>
      </c>
    </row>
    <row r="4346" spans="1:2" x14ac:dyDescent="0.25">
      <c r="A4346" s="1" t="s">
        <v>8854</v>
      </c>
      <c r="B4346" t="s">
        <v>8855</v>
      </c>
    </row>
    <row r="4347" spans="1:2" x14ac:dyDescent="0.25">
      <c r="A4347" s="1" t="s">
        <v>8856</v>
      </c>
      <c r="B4347" t="s">
        <v>8857</v>
      </c>
    </row>
    <row r="4348" spans="1:2" x14ac:dyDescent="0.25">
      <c r="A4348" s="1" t="s">
        <v>8858</v>
      </c>
      <c r="B4348" t="s">
        <v>8859</v>
      </c>
    </row>
    <row r="4349" spans="1:2" x14ac:dyDescent="0.25">
      <c r="A4349" s="1" t="s">
        <v>8862</v>
      </c>
      <c r="B4349" t="s">
        <v>8863</v>
      </c>
    </row>
    <row r="4350" spans="1:2" x14ac:dyDescent="0.25">
      <c r="A4350" s="1" t="s">
        <v>8864</v>
      </c>
      <c r="B4350" t="s">
        <v>8865</v>
      </c>
    </row>
    <row r="4351" spans="1:2" x14ac:dyDescent="0.25">
      <c r="A4351" s="1" t="s">
        <v>8867</v>
      </c>
      <c r="B4351" t="s">
        <v>8868</v>
      </c>
    </row>
    <row r="4352" spans="1:2" x14ac:dyDescent="0.25">
      <c r="A4352" s="1" t="s">
        <v>8870</v>
      </c>
      <c r="B4352" t="s">
        <v>8871</v>
      </c>
    </row>
    <row r="4353" spans="1:2" x14ac:dyDescent="0.25">
      <c r="A4353" s="1" t="s">
        <v>8872</v>
      </c>
      <c r="B4353" t="s">
        <v>8873</v>
      </c>
    </row>
    <row r="4354" spans="1:2" x14ac:dyDescent="0.25">
      <c r="A4354" s="1" t="s">
        <v>8874</v>
      </c>
      <c r="B4354" t="s">
        <v>8875</v>
      </c>
    </row>
    <row r="4355" spans="1:2" x14ac:dyDescent="0.25">
      <c r="A4355" s="1" t="s">
        <v>8883</v>
      </c>
      <c r="B4355" t="s">
        <v>8884</v>
      </c>
    </row>
    <row r="4356" spans="1:2" x14ac:dyDescent="0.25">
      <c r="A4356" s="1" t="s">
        <v>8885</v>
      </c>
      <c r="B4356" t="s">
        <v>8886</v>
      </c>
    </row>
    <row r="4357" spans="1:2" x14ac:dyDescent="0.25">
      <c r="A4357" s="1" t="s">
        <v>8887</v>
      </c>
      <c r="B4357" t="s">
        <v>8888</v>
      </c>
    </row>
    <row r="4358" spans="1:2" x14ac:dyDescent="0.25">
      <c r="A4358" s="1" t="s">
        <v>8889</v>
      </c>
      <c r="B4358" t="s">
        <v>8890</v>
      </c>
    </row>
    <row r="4359" spans="1:2" x14ac:dyDescent="0.25">
      <c r="A4359" s="1" t="s">
        <v>8891</v>
      </c>
      <c r="B4359" t="s">
        <v>8892</v>
      </c>
    </row>
    <row r="4360" spans="1:2" x14ac:dyDescent="0.25">
      <c r="A4360" s="1" t="s">
        <v>8893</v>
      </c>
      <c r="B4360" t="s">
        <v>8894</v>
      </c>
    </row>
    <row r="4361" spans="1:2" x14ac:dyDescent="0.25">
      <c r="A4361" s="1" t="s">
        <v>8895</v>
      </c>
      <c r="B4361" t="s">
        <v>8896</v>
      </c>
    </row>
    <row r="4362" spans="1:2" x14ac:dyDescent="0.25">
      <c r="A4362" s="1" t="s">
        <v>8897</v>
      </c>
      <c r="B4362" t="s">
        <v>8898</v>
      </c>
    </row>
    <row r="4363" spans="1:2" x14ac:dyDescent="0.25">
      <c r="A4363" s="1" t="s">
        <v>8899</v>
      </c>
      <c r="B4363" t="s">
        <v>8900</v>
      </c>
    </row>
    <row r="4364" spans="1:2" x14ac:dyDescent="0.25">
      <c r="A4364" s="1" t="s">
        <v>8901</v>
      </c>
      <c r="B4364" t="s">
        <v>8902</v>
      </c>
    </row>
    <row r="4365" spans="1:2" x14ac:dyDescent="0.25">
      <c r="A4365" s="1" t="s">
        <v>8903</v>
      </c>
      <c r="B4365" t="s">
        <v>8904</v>
      </c>
    </row>
    <row r="4366" spans="1:2" x14ac:dyDescent="0.25">
      <c r="A4366" s="1" t="s">
        <v>8905</v>
      </c>
      <c r="B4366" t="s">
        <v>8906</v>
      </c>
    </row>
    <row r="4367" spans="1:2" x14ac:dyDescent="0.25">
      <c r="A4367" s="117" t="s">
        <v>8907</v>
      </c>
      <c r="B4367" t="s">
        <v>8908</v>
      </c>
    </row>
    <row r="4368" spans="1:2" x14ac:dyDescent="0.25">
      <c r="A4368" s="1" t="s">
        <v>8923</v>
      </c>
      <c r="B4368" t="s">
        <v>8924</v>
      </c>
    </row>
    <row r="4369" spans="1:2" x14ac:dyDescent="0.25">
      <c r="A4369" s="1" t="s">
        <v>8925</v>
      </c>
      <c r="B4369" t="s">
        <v>8926</v>
      </c>
    </row>
    <row r="4370" spans="1:2" x14ac:dyDescent="0.25">
      <c r="A4370" s="1" t="s">
        <v>8927</v>
      </c>
      <c r="B4370" t="s">
        <v>1301</v>
      </c>
    </row>
    <row r="4371" spans="1:2" x14ac:dyDescent="0.25">
      <c r="A4371" s="1" t="s">
        <v>8928</v>
      </c>
      <c r="B4371" t="s">
        <v>8929</v>
      </c>
    </row>
    <row r="4372" spans="1:2" x14ac:dyDescent="0.25">
      <c r="A4372" s="1" t="s">
        <v>8930</v>
      </c>
      <c r="B4372" t="s">
        <v>8931</v>
      </c>
    </row>
    <row r="4373" spans="1:2" x14ac:dyDescent="0.25">
      <c r="A4373" s="1" t="s">
        <v>8933</v>
      </c>
      <c r="B4373" t="s">
        <v>8934</v>
      </c>
    </row>
    <row r="4374" spans="1:2" x14ac:dyDescent="0.25">
      <c r="A4374" s="1" t="s">
        <v>8935</v>
      </c>
      <c r="B4374" t="s">
        <v>7936</v>
      </c>
    </row>
    <row r="4375" spans="1:2" x14ac:dyDescent="0.25">
      <c r="A4375" s="1" t="s">
        <v>8938</v>
      </c>
      <c r="B4375" t="s">
        <v>7936</v>
      </c>
    </row>
    <row r="4376" spans="1:2" x14ac:dyDescent="0.25">
      <c r="A4376" s="1" t="s">
        <v>8939</v>
      </c>
      <c r="B4376" t="s">
        <v>8940</v>
      </c>
    </row>
    <row r="4377" spans="1:2" x14ac:dyDescent="0.25">
      <c r="A4377" s="1" t="s">
        <v>8943</v>
      </c>
      <c r="B4377" t="s">
        <v>8944</v>
      </c>
    </row>
    <row r="4378" spans="1:2" x14ac:dyDescent="0.25">
      <c r="A4378" s="22" t="s">
        <v>8948</v>
      </c>
      <c r="B4378" t="s">
        <v>8949</v>
      </c>
    </row>
    <row r="4379" spans="1:2" x14ac:dyDescent="0.25">
      <c r="A4379" s="1" t="s">
        <v>8950</v>
      </c>
      <c r="B4379" t="s">
        <v>8951</v>
      </c>
    </row>
    <row r="4380" spans="1:2" x14ac:dyDescent="0.25">
      <c r="A4380" s="1" t="s">
        <v>8952</v>
      </c>
      <c r="B4380" t="s">
        <v>8953</v>
      </c>
    </row>
    <row r="4381" spans="1:2" x14ac:dyDescent="0.25">
      <c r="A4381" s="1" t="s">
        <v>8954</v>
      </c>
      <c r="B4381" t="s">
        <v>8955</v>
      </c>
    </row>
    <row r="4382" spans="1:2" x14ac:dyDescent="0.25">
      <c r="A4382" s="1" t="s">
        <v>8956</v>
      </c>
      <c r="B4382" t="s">
        <v>8957</v>
      </c>
    </row>
    <row r="4383" spans="1:2" x14ac:dyDescent="0.25">
      <c r="A4383" s="1" t="s">
        <v>8161</v>
      </c>
      <c r="B4383" t="s">
        <v>8958</v>
      </c>
    </row>
    <row r="4384" spans="1:2" x14ac:dyDescent="0.25">
      <c r="A4384" s="1" t="s">
        <v>8959</v>
      </c>
      <c r="B4384" t="s">
        <v>8960</v>
      </c>
    </row>
    <row r="4385" spans="1:2" x14ac:dyDescent="0.25">
      <c r="A4385" s="1" t="s">
        <v>8961</v>
      </c>
      <c r="B4385" t="s">
        <v>8962</v>
      </c>
    </row>
    <row r="4386" spans="1:2" x14ac:dyDescent="0.25">
      <c r="A4386" s="1" t="s">
        <v>8963</v>
      </c>
      <c r="B4386" t="s">
        <v>8964</v>
      </c>
    </row>
    <row r="4387" spans="1:2" x14ac:dyDescent="0.25">
      <c r="A4387" s="1" t="s">
        <v>8965</v>
      </c>
      <c r="B4387" t="s">
        <v>8966</v>
      </c>
    </row>
    <row r="4388" spans="1:2" x14ac:dyDescent="0.25">
      <c r="A4388" s="22" t="s">
        <v>8968</v>
      </c>
      <c r="B4388" t="s">
        <v>8969</v>
      </c>
    </row>
    <row r="4389" spans="1:2" x14ac:dyDescent="0.25">
      <c r="A4389" s="22" t="s">
        <v>8970</v>
      </c>
      <c r="B4389" t="s">
        <v>8971</v>
      </c>
    </row>
    <row r="4390" spans="1:2" x14ac:dyDescent="0.25">
      <c r="A4390" s="1" t="s">
        <v>8972</v>
      </c>
      <c r="B4390" t="s">
        <v>8973</v>
      </c>
    </row>
    <row r="4391" spans="1:2" x14ac:dyDescent="0.25">
      <c r="A4391" s="1" t="s">
        <v>8967</v>
      </c>
      <c r="B4391" t="s">
        <v>8974</v>
      </c>
    </row>
    <row r="4392" spans="1:2" x14ac:dyDescent="0.25">
      <c r="A4392" s="1" t="s">
        <v>8975</v>
      </c>
      <c r="B4392" t="s">
        <v>8976</v>
      </c>
    </row>
    <row r="4393" spans="1:2" x14ac:dyDescent="0.25">
      <c r="A4393" s="1" t="s">
        <v>8977</v>
      </c>
      <c r="B4393" t="s">
        <v>8978</v>
      </c>
    </row>
    <row r="4394" spans="1:2" x14ac:dyDescent="0.25">
      <c r="A4394" s="1" t="s">
        <v>8979</v>
      </c>
      <c r="B4394" t="s">
        <v>8980</v>
      </c>
    </row>
    <row r="4395" spans="1:2" x14ac:dyDescent="0.25">
      <c r="A4395" s="1" t="s">
        <v>8981</v>
      </c>
      <c r="B4395" t="s">
        <v>8982</v>
      </c>
    </row>
    <row r="4396" spans="1:2" x14ac:dyDescent="0.25">
      <c r="A4396" s="1" t="s">
        <v>8983</v>
      </c>
      <c r="B4396" t="s">
        <v>8984</v>
      </c>
    </row>
    <row r="4397" spans="1:2" x14ac:dyDescent="0.25">
      <c r="A4397" s="1" t="s">
        <v>8985</v>
      </c>
      <c r="B4397" t="s">
        <v>197</v>
      </c>
    </row>
    <row r="4398" spans="1:2" x14ac:dyDescent="0.25">
      <c r="A4398" s="1" t="s">
        <v>8986</v>
      </c>
      <c r="B4398" t="s">
        <v>8987</v>
      </c>
    </row>
    <row r="4399" spans="1:2" x14ac:dyDescent="0.25">
      <c r="A4399" s="1" t="s">
        <v>8988</v>
      </c>
      <c r="B4399" t="s">
        <v>8989</v>
      </c>
    </row>
    <row r="4400" spans="1:2" x14ac:dyDescent="0.25">
      <c r="A4400" s="1" t="s">
        <v>8990</v>
      </c>
      <c r="B4400" t="s">
        <v>8991</v>
      </c>
    </row>
    <row r="4401" spans="1:2" x14ac:dyDescent="0.25">
      <c r="A4401" s="1" t="s">
        <v>8992</v>
      </c>
      <c r="B4401" t="s">
        <v>8993</v>
      </c>
    </row>
    <row r="4402" spans="1:2" x14ac:dyDescent="0.25">
      <c r="A4402" s="1" t="s">
        <v>8994</v>
      </c>
      <c r="B4402" t="s">
        <v>8995</v>
      </c>
    </row>
    <row r="4403" spans="1:2" x14ac:dyDescent="0.25">
      <c r="A4403" s="1" t="s">
        <v>8996</v>
      </c>
      <c r="B4403" t="s">
        <v>8997</v>
      </c>
    </row>
    <row r="4404" spans="1:2" x14ac:dyDescent="0.25">
      <c r="A4404" s="1" t="s">
        <v>8998</v>
      </c>
      <c r="B4404" t="s">
        <v>8999</v>
      </c>
    </row>
    <row r="4405" spans="1:2" x14ac:dyDescent="0.25">
      <c r="A4405" s="1" t="s">
        <v>9000</v>
      </c>
      <c r="B4405" t="s">
        <v>6526</v>
      </c>
    </row>
    <row r="4406" spans="1:2" x14ac:dyDescent="0.25">
      <c r="A4406" s="1" t="s">
        <v>9001</v>
      </c>
      <c r="B4406" t="s">
        <v>9002</v>
      </c>
    </row>
    <row r="4407" spans="1:2" x14ac:dyDescent="0.25">
      <c r="A4407" s="1" t="s">
        <v>9003</v>
      </c>
      <c r="B4407" t="s">
        <v>9004</v>
      </c>
    </row>
    <row r="4408" spans="1:2" x14ac:dyDescent="0.25">
      <c r="A4408" s="1" t="s">
        <v>9005</v>
      </c>
      <c r="B4408" t="s">
        <v>1447</v>
      </c>
    </row>
    <row r="4409" spans="1:2" x14ac:dyDescent="0.25">
      <c r="A4409" s="1" t="s">
        <v>9006</v>
      </c>
      <c r="B4409" t="s">
        <v>9007</v>
      </c>
    </row>
    <row r="4410" spans="1:2" x14ac:dyDescent="0.25">
      <c r="A4410" s="1" t="s">
        <v>9008</v>
      </c>
      <c r="B4410" t="s">
        <v>9009</v>
      </c>
    </row>
    <row r="4411" spans="1:2" x14ac:dyDescent="0.25">
      <c r="A4411" s="1" t="s">
        <v>9010</v>
      </c>
      <c r="B4411" t="s">
        <v>9011</v>
      </c>
    </row>
    <row r="4412" spans="1:2" x14ac:dyDescent="0.25">
      <c r="A4412" s="1" t="s">
        <v>9019</v>
      </c>
      <c r="B4412" t="s">
        <v>9018</v>
      </c>
    </row>
    <row r="4413" spans="1:2" x14ac:dyDescent="0.25">
      <c r="A4413" s="1" t="s">
        <v>9021</v>
      </c>
      <c r="B4413" t="s">
        <v>9020</v>
      </c>
    </row>
    <row r="4414" spans="1:2" x14ac:dyDescent="0.25">
      <c r="A4414" s="1" t="s">
        <v>9022</v>
      </c>
      <c r="B4414" t="s">
        <v>9034</v>
      </c>
    </row>
    <row r="4415" spans="1:2" x14ac:dyDescent="0.25">
      <c r="A4415" s="1" t="s">
        <v>9023</v>
      </c>
      <c r="B4415" t="s">
        <v>9035</v>
      </c>
    </row>
    <row r="4416" spans="1:2" x14ac:dyDescent="0.25">
      <c r="A4416" s="1" t="s">
        <v>9024</v>
      </c>
      <c r="B4416" t="s">
        <v>9036</v>
      </c>
    </row>
    <row r="4417" spans="1:2" x14ac:dyDescent="0.25">
      <c r="A4417" s="1" t="s">
        <v>9025</v>
      </c>
      <c r="B4417" t="s">
        <v>9037</v>
      </c>
    </row>
    <row r="4418" spans="1:2" x14ac:dyDescent="0.25">
      <c r="A4418" s="1" t="s">
        <v>9026</v>
      </c>
      <c r="B4418" t="s">
        <v>9038</v>
      </c>
    </row>
    <row r="4419" spans="1:2" x14ac:dyDescent="0.25">
      <c r="A4419" s="1" t="s">
        <v>9027</v>
      </c>
      <c r="B4419" t="s">
        <v>9039</v>
      </c>
    </row>
    <row r="4420" spans="1:2" x14ac:dyDescent="0.25">
      <c r="A4420" s="1" t="s">
        <v>9028</v>
      </c>
      <c r="B4420" t="s">
        <v>9040</v>
      </c>
    </row>
    <row r="4421" spans="1:2" x14ac:dyDescent="0.25">
      <c r="A4421" s="1" t="s">
        <v>9029</v>
      </c>
      <c r="B4421" t="s">
        <v>9041</v>
      </c>
    </row>
    <row r="4422" spans="1:2" x14ac:dyDescent="0.25">
      <c r="A4422" s="1" t="s">
        <v>9030</v>
      </c>
      <c r="B4422" t="s">
        <v>9042</v>
      </c>
    </row>
    <row r="4423" spans="1:2" x14ac:dyDescent="0.25">
      <c r="A4423" s="1" t="s">
        <v>9031</v>
      </c>
      <c r="B4423" t="s">
        <v>9043</v>
      </c>
    </row>
    <row r="4424" spans="1:2" x14ac:dyDescent="0.25">
      <c r="A4424" s="1" t="s">
        <v>9032</v>
      </c>
      <c r="B4424" t="s">
        <v>9044</v>
      </c>
    </row>
    <row r="4425" spans="1:2" x14ac:dyDescent="0.25">
      <c r="A4425" s="1" t="s">
        <v>9033</v>
      </c>
      <c r="B4425" t="s">
        <v>9045</v>
      </c>
    </row>
    <row r="4426" spans="1:2" x14ac:dyDescent="0.25">
      <c r="A4426" s="1" t="s">
        <v>9046</v>
      </c>
      <c r="B4426" t="s">
        <v>9047</v>
      </c>
    </row>
    <row r="4427" spans="1:2" x14ac:dyDescent="0.25">
      <c r="A4427" s="1" t="s">
        <v>9048</v>
      </c>
      <c r="B4427" t="s">
        <v>9049</v>
      </c>
    </row>
    <row r="4428" spans="1:2" x14ac:dyDescent="0.25">
      <c r="A4428" s="1" t="s">
        <v>9050</v>
      </c>
      <c r="B4428" t="s">
        <v>9051</v>
      </c>
    </row>
    <row r="4429" spans="1:2" x14ac:dyDescent="0.25">
      <c r="A4429" s="1" t="s">
        <v>9052</v>
      </c>
      <c r="B4429" t="s">
        <v>9053</v>
      </c>
    </row>
    <row r="4430" spans="1:2" x14ac:dyDescent="0.25">
      <c r="A4430" s="1" t="s">
        <v>9054</v>
      </c>
      <c r="B4430" t="s">
        <v>9055</v>
      </c>
    </row>
    <row r="4431" spans="1:2" x14ac:dyDescent="0.25">
      <c r="A4431" s="1" t="s">
        <v>9056</v>
      </c>
      <c r="B4431" t="s">
        <v>9057</v>
      </c>
    </row>
    <row r="4432" spans="1:2" x14ac:dyDescent="0.25">
      <c r="A4432" s="1" t="s">
        <v>9058</v>
      </c>
      <c r="B4432" t="s">
        <v>9059</v>
      </c>
    </row>
    <row r="4433" spans="1:2" x14ac:dyDescent="0.25">
      <c r="A4433" s="1" t="s">
        <v>9060</v>
      </c>
      <c r="B4433" t="s">
        <v>9061</v>
      </c>
    </row>
    <row r="4434" spans="1:2" x14ac:dyDescent="0.25">
      <c r="A4434" s="1" t="s">
        <v>9062</v>
      </c>
      <c r="B4434" t="s">
        <v>9063</v>
      </c>
    </row>
    <row r="4435" spans="1:2" x14ac:dyDescent="0.25">
      <c r="A4435" s="1" t="s">
        <v>9064</v>
      </c>
      <c r="B4435" t="s">
        <v>9065</v>
      </c>
    </row>
    <row r="4436" spans="1:2" x14ac:dyDescent="0.25">
      <c r="A4436" s="1" t="s">
        <v>9066</v>
      </c>
      <c r="B4436" t="s">
        <v>9067</v>
      </c>
    </row>
    <row r="4437" spans="1:2" x14ac:dyDescent="0.25">
      <c r="A4437" s="1" t="s">
        <v>52</v>
      </c>
      <c r="B4437" t="s">
        <v>9068</v>
      </c>
    </row>
    <row r="4438" spans="1:2" x14ac:dyDescent="0.25">
      <c r="A4438" s="1" t="s">
        <v>9069</v>
      </c>
      <c r="B4438" t="s">
        <v>9070</v>
      </c>
    </row>
    <row r="4439" spans="1:2" x14ac:dyDescent="0.25">
      <c r="A4439" s="1" t="s">
        <v>9071</v>
      </c>
      <c r="B4439" t="s">
        <v>9072</v>
      </c>
    </row>
    <row r="4440" spans="1:2" x14ac:dyDescent="0.25">
      <c r="A4440" s="1" t="s">
        <v>9073</v>
      </c>
      <c r="B4440" t="s">
        <v>9074</v>
      </c>
    </row>
    <row r="4441" spans="1:2" x14ac:dyDescent="0.25">
      <c r="A4441" s="1" t="s">
        <v>9075</v>
      </c>
      <c r="B4441" t="s">
        <v>9076</v>
      </c>
    </row>
    <row r="4442" spans="1:2" x14ac:dyDescent="0.25">
      <c r="A4442" s="1" t="s">
        <v>9077</v>
      </c>
      <c r="B4442" t="s">
        <v>9078</v>
      </c>
    </row>
    <row r="4443" spans="1:2" x14ac:dyDescent="0.25">
      <c r="A4443" s="1" t="s">
        <v>9079</v>
      </c>
      <c r="B4443" t="s">
        <v>9080</v>
      </c>
    </row>
    <row r="4444" spans="1:2" x14ac:dyDescent="0.25">
      <c r="A4444" s="1" t="s">
        <v>49</v>
      </c>
      <c r="B4444" t="s">
        <v>9081</v>
      </c>
    </row>
    <row r="4445" spans="1:2" x14ac:dyDescent="0.25">
      <c r="A4445" s="1" t="s">
        <v>9082</v>
      </c>
      <c r="B4445" t="s">
        <v>9083</v>
      </c>
    </row>
    <row r="4446" spans="1:2" x14ac:dyDescent="0.25">
      <c r="A4446" s="1" t="s">
        <v>9084</v>
      </c>
      <c r="B4446" t="s">
        <v>9085</v>
      </c>
    </row>
    <row r="4447" spans="1:2" x14ac:dyDescent="0.25">
      <c r="A4447" s="1" t="s">
        <v>48</v>
      </c>
      <c r="B4447" t="s">
        <v>9086</v>
      </c>
    </row>
    <row r="4448" spans="1:2" x14ac:dyDescent="0.25">
      <c r="A4448" s="1" t="s">
        <v>9087</v>
      </c>
      <c r="B4448" t="s">
        <v>9088</v>
      </c>
    </row>
    <row r="4449" spans="1:2" x14ac:dyDescent="0.25">
      <c r="A4449" s="1" t="s">
        <v>7810</v>
      </c>
      <c r="B4449" t="s">
        <v>9089</v>
      </c>
    </row>
    <row r="4450" spans="1:2" x14ac:dyDescent="0.25">
      <c r="A4450" s="1" t="s">
        <v>47</v>
      </c>
      <c r="B4450" t="s">
        <v>9090</v>
      </c>
    </row>
    <row r="4451" spans="1:2" x14ac:dyDescent="0.25">
      <c r="A4451" s="1" t="s">
        <v>9091</v>
      </c>
      <c r="B4451" t="s">
        <v>9092</v>
      </c>
    </row>
    <row r="4452" spans="1:2" x14ac:dyDescent="0.25">
      <c r="A4452" s="1" t="s">
        <v>46</v>
      </c>
      <c r="B4452" t="s">
        <v>9093</v>
      </c>
    </row>
    <row r="4453" spans="1:2" x14ac:dyDescent="0.25">
      <c r="A4453" s="1" t="s">
        <v>9094</v>
      </c>
      <c r="B4453" t="s">
        <v>9095</v>
      </c>
    </row>
    <row r="4454" spans="1:2" x14ac:dyDescent="0.25">
      <c r="A4454" s="1" t="s">
        <v>9096</v>
      </c>
      <c r="B4454" t="s">
        <v>9097</v>
      </c>
    </row>
    <row r="4455" spans="1:2" x14ac:dyDescent="0.25">
      <c r="A4455" s="1" t="s">
        <v>9098</v>
      </c>
      <c r="B4455" t="s">
        <v>9099</v>
      </c>
    </row>
    <row r="4456" spans="1:2" x14ac:dyDescent="0.25">
      <c r="A4456" s="1" t="s">
        <v>9100</v>
      </c>
      <c r="B4456" t="s">
        <v>9101</v>
      </c>
    </row>
    <row r="4457" spans="1:2" x14ac:dyDescent="0.25">
      <c r="A4457" s="1" t="s">
        <v>9102</v>
      </c>
      <c r="B4457" t="s">
        <v>9103</v>
      </c>
    </row>
    <row r="4458" spans="1:2" x14ac:dyDescent="0.25">
      <c r="A4458" s="1" t="s">
        <v>9104</v>
      </c>
      <c r="B4458" t="s">
        <v>9105</v>
      </c>
    </row>
    <row r="4459" spans="1:2" x14ac:dyDescent="0.25">
      <c r="A4459" s="1" t="s">
        <v>9106</v>
      </c>
      <c r="B4459" t="s">
        <v>9107</v>
      </c>
    </row>
    <row r="4460" spans="1:2" x14ac:dyDescent="0.25">
      <c r="A4460" s="1" t="s">
        <v>45</v>
      </c>
      <c r="B4460" t="s">
        <v>9108</v>
      </c>
    </row>
    <row r="4461" spans="1:2" x14ac:dyDescent="0.25">
      <c r="A4461" s="1" t="s">
        <v>9109</v>
      </c>
      <c r="B4461" t="s">
        <v>9110</v>
      </c>
    </row>
    <row r="4462" spans="1:2" x14ac:dyDescent="0.25">
      <c r="A4462" s="1" t="s">
        <v>44</v>
      </c>
      <c r="B4462" t="s">
        <v>9111</v>
      </c>
    </row>
    <row r="4463" spans="1:2" x14ac:dyDescent="0.25">
      <c r="A4463" s="1" t="s">
        <v>9112</v>
      </c>
      <c r="B4463" t="s">
        <v>9113</v>
      </c>
    </row>
    <row r="4464" spans="1:2" x14ac:dyDescent="0.25">
      <c r="A4464" s="1" t="s">
        <v>9114</v>
      </c>
      <c r="B4464" t="s">
        <v>9115</v>
      </c>
    </row>
    <row r="4465" spans="1:5" x14ac:dyDescent="0.25">
      <c r="A4465" s="1" t="s">
        <v>9116</v>
      </c>
      <c r="B4465" t="s">
        <v>9117</v>
      </c>
    </row>
    <row r="4466" spans="1:5" x14ac:dyDescent="0.25">
      <c r="A4466" s="1" t="s">
        <v>43</v>
      </c>
      <c r="B4466" t="s">
        <v>9118</v>
      </c>
    </row>
    <row r="4467" spans="1:5" x14ac:dyDescent="0.25">
      <c r="A4467" s="1" t="s">
        <v>9119</v>
      </c>
      <c r="B4467" t="s">
        <v>9120</v>
      </c>
    </row>
    <row r="4468" spans="1:5" x14ac:dyDescent="0.25">
      <c r="A4468" s="1" t="s">
        <v>9121</v>
      </c>
      <c r="B4468" t="s">
        <v>9122</v>
      </c>
    </row>
    <row r="4469" spans="1:5" x14ac:dyDescent="0.25">
      <c r="A4469" s="1" t="s">
        <v>42</v>
      </c>
      <c r="B4469" t="s">
        <v>9123</v>
      </c>
    </row>
    <row r="4470" spans="1:5" x14ac:dyDescent="0.25">
      <c r="A4470" s="1" t="s">
        <v>9124</v>
      </c>
      <c r="B4470" t="s">
        <v>9125</v>
      </c>
    </row>
    <row r="4471" spans="1:5" x14ac:dyDescent="0.25">
      <c r="A4471" s="1" t="s">
        <v>9126</v>
      </c>
      <c r="B4471" t="s">
        <v>41</v>
      </c>
    </row>
    <row r="4472" spans="1:5" x14ac:dyDescent="0.25">
      <c r="A4472" s="1" t="s">
        <v>9127</v>
      </c>
      <c r="B4472" t="s">
        <v>9128</v>
      </c>
    </row>
    <row r="4473" spans="1:5" x14ac:dyDescent="0.25">
      <c r="A4473" s="1" t="s">
        <v>40</v>
      </c>
      <c r="B4473" t="s">
        <v>9129</v>
      </c>
    </row>
    <row r="4474" spans="1:5" x14ac:dyDescent="0.25">
      <c r="A4474" s="1" t="s">
        <v>39</v>
      </c>
      <c r="B4474" t="s">
        <v>9130</v>
      </c>
      <c r="E4474">
        <v>288.04000000000002</v>
      </c>
    </row>
    <row r="4475" spans="1:5" x14ac:dyDescent="0.25">
      <c r="A4475" s="1" t="s">
        <v>38</v>
      </c>
      <c r="B4475" t="s">
        <v>9131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9132</v>
      </c>
      <c r="C4476">
        <v>1946.16</v>
      </c>
      <c r="E4476">
        <v>191.61</v>
      </c>
    </row>
    <row r="4477" spans="1:5" x14ac:dyDescent="0.25">
      <c r="A4477" s="1" t="s">
        <v>9133</v>
      </c>
      <c r="B4477" t="s">
        <v>9134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9135</v>
      </c>
      <c r="E4478">
        <v>393.22</v>
      </c>
    </row>
    <row r="4479" spans="1:5" x14ac:dyDescent="0.25">
      <c r="A4479" s="1" t="s">
        <v>35</v>
      </c>
      <c r="B4479" t="s">
        <v>9136</v>
      </c>
      <c r="E4479">
        <f>SUM(E4474:E4478)</f>
        <v>1946.16</v>
      </c>
    </row>
    <row r="4480" spans="1:5" x14ac:dyDescent="0.25">
      <c r="A4480" s="1" t="s">
        <v>34</v>
      </c>
      <c r="B4480" t="s">
        <v>9137</v>
      </c>
    </row>
    <row r="4481" spans="1:2" x14ac:dyDescent="0.25">
      <c r="A4481" s="1" t="s">
        <v>9138</v>
      </c>
      <c r="B4481" t="s">
        <v>9139</v>
      </c>
    </row>
    <row r="4482" spans="1:2" x14ac:dyDescent="0.25">
      <c r="A4482" s="1" t="s">
        <v>33</v>
      </c>
      <c r="B4482" t="s">
        <v>9140</v>
      </c>
    </row>
    <row r="4483" spans="1:2" x14ac:dyDescent="0.25">
      <c r="A4483" s="1" t="s">
        <v>32</v>
      </c>
      <c r="B4483" t="s">
        <v>9141</v>
      </c>
    </row>
    <row r="4484" spans="1:2" x14ac:dyDescent="0.25">
      <c r="A4484" s="1" t="s">
        <v>9142</v>
      </c>
      <c r="B4484" t="s">
        <v>9143</v>
      </c>
    </row>
    <row r="4485" spans="1:2" x14ac:dyDescent="0.25">
      <c r="A4485" s="1" t="s">
        <v>31</v>
      </c>
      <c r="B4485" t="s">
        <v>9144</v>
      </c>
    </row>
    <row r="4486" spans="1:2" x14ac:dyDescent="0.25">
      <c r="A4486" s="1" t="s">
        <v>9145</v>
      </c>
      <c r="B4486" t="s">
        <v>9146</v>
      </c>
    </row>
    <row r="4487" spans="1:2" x14ac:dyDescent="0.25">
      <c r="A4487" s="1" t="s">
        <v>9147</v>
      </c>
      <c r="B4487" t="s">
        <v>9148</v>
      </c>
    </row>
    <row r="4488" spans="1:2" x14ac:dyDescent="0.25">
      <c r="A4488" s="1" t="s">
        <v>30</v>
      </c>
      <c r="B4488" t="s">
        <v>9149</v>
      </c>
    </row>
    <row r="4489" spans="1:2" x14ac:dyDescent="0.25">
      <c r="A4489" s="1" t="s">
        <v>9150</v>
      </c>
      <c r="B4489" t="s">
        <v>9151</v>
      </c>
    </row>
    <row r="4490" spans="1:2" x14ac:dyDescent="0.25">
      <c r="A4490" s="1" t="s">
        <v>9152</v>
      </c>
      <c r="B4490" t="s">
        <v>9153</v>
      </c>
    </row>
    <row r="4491" spans="1:2" x14ac:dyDescent="0.25">
      <c r="A4491" s="1" t="s">
        <v>29</v>
      </c>
      <c r="B4491" t="s">
        <v>9154</v>
      </c>
    </row>
    <row r="4492" spans="1:2" x14ac:dyDescent="0.25">
      <c r="A4492" s="1" t="s">
        <v>9155</v>
      </c>
      <c r="B4492" t="s">
        <v>9156</v>
      </c>
    </row>
    <row r="4493" spans="1:2" x14ac:dyDescent="0.25">
      <c r="A4493" s="1" t="s">
        <v>9157</v>
      </c>
      <c r="B4493" t="s">
        <v>9158</v>
      </c>
    </row>
    <row r="4494" spans="1:2" x14ac:dyDescent="0.25">
      <c r="A4494" s="1" t="s">
        <v>9159</v>
      </c>
      <c r="B4494" t="s">
        <v>9160</v>
      </c>
    </row>
    <row r="4495" spans="1:2" x14ac:dyDescent="0.25">
      <c r="A4495" s="1" t="s">
        <v>9161</v>
      </c>
      <c r="B4495" t="s">
        <v>9162</v>
      </c>
    </row>
    <row r="4496" spans="1:2" x14ac:dyDescent="0.25">
      <c r="A4496" s="1" t="s">
        <v>9163</v>
      </c>
      <c r="B4496" t="s">
        <v>9164</v>
      </c>
    </row>
    <row r="4497" spans="1:2" x14ac:dyDescent="0.25">
      <c r="A4497" s="1" t="s">
        <v>9165</v>
      </c>
      <c r="B4497" t="s">
        <v>9166</v>
      </c>
    </row>
    <row r="4498" spans="1:2" x14ac:dyDescent="0.25">
      <c r="A4498" s="1" t="s">
        <v>9167</v>
      </c>
      <c r="B4498" t="s">
        <v>9168</v>
      </c>
    </row>
    <row r="4499" spans="1:2" x14ac:dyDescent="0.25">
      <c r="A4499" s="1" t="s">
        <v>3103</v>
      </c>
      <c r="B4499" t="s">
        <v>9169</v>
      </c>
    </row>
    <row r="4500" spans="1:2" x14ac:dyDescent="0.25">
      <c r="A4500" s="1" t="s">
        <v>6499</v>
      </c>
      <c r="B4500" t="s">
        <v>9170</v>
      </c>
    </row>
    <row r="4501" spans="1:2" x14ac:dyDescent="0.25">
      <c r="A4501" s="1" t="s">
        <v>2641</v>
      </c>
      <c r="B4501" t="s">
        <v>9171</v>
      </c>
    </row>
    <row r="4502" spans="1:2" x14ac:dyDescent="0.25">
      <c r="A4502" s="1" t="s">
        <v>2802</v>
      </c>
      <c r="B4502" t="s">
        <v>9172</v>
      </c>
    </row>
    <row r="4503" spans="1:2" x14ac:dyDescent="0.25">
      <c r="A4503" s="1" t="s">
        <v>5902</v>
      </c>
      <c r="B4503" t="s">
        <v>9173</v>
      </c>
    </row>
    <row r="4504" spans="1:2" x14ac:dyDescent="0.25">
      <c r="A4504" s="1" t="s">
        <v>5071</v>
      </c>
      <c r="B4504" t="s">
        <v>9174</v>
      </c>
    </row>
    <row r="4505" spans="1:2" x14ac:dyDescent="0.25">
      <c r="A4505" s="1" t="s">
        <v>3067</v>
      </c>
      <c r="B4505" t="s">
        <v>9175</v>
      </c>
    </row>
    <row r="4506" spans="1:2" x14ac:dyDescent="0.25">
      <c r="A4506" s="1" t="s">
        <v>6517</v>
      </c>
      <c r="B4506" t="s">
        <v>9176</v>
      </c>
    </row>
    <row r="4507" spans="1:2" x14ac:dyDescent="0.25">
      <c r="A4507" s="1" t="s">
        <v>9177</v>
      </c>
      <c r="B4507" t="s">
        <v>9178</v>
      </c>
    </row>
    <row r="4508" spans="1:2" x14ac:dyDescent="0.25">
      <c r="A4508" s="1" t="s">
        <v>3527</v>
      </c>
      <c r="B4508" t="s">
        <v>9179</v>
      </c>
    </row>
    <row r="4509" spans="1:2" x14ac:dyDescent="0.25">
      <c r="A4509" s="1" t="s">
        <v>1320</v>
      </c>
      <c r="B4509" t="s">
        <v>9180</v>
      </c>
    </row>
    <row r="4510" spans="1:2" x14ac:dyDescent="0.25">
      <c r="A4510" s="1" t="s">
        <v>9181</v>
      </c>
      <c r="B4510" t="s">
        <v>9182</v>
      </c>
    </row>
    <row r="4511" spans="1:2" x14ac:dyDescent="0.25">
      <c r="A4511" s="1" t="s">
        <v>2579</v>
      </c>
      <c r="B4511" t="s">
        <v>9183</v>
      </c>
    </row>
    <row r="4512" spans="1:2" x14ac:dyDescent="0.25">
      <c r="A4512" s="1" t="s">
        <v>3051</v>
      </c>
      <c r="B4512" t="s">
        <v>9184</v>
      </c>
    </row>
    <row r="4513" spans="1:2" x14ac:dyDescent="0.25">
      <c r="A4513" s="1" t="s">
        <v>2196</v>
      </c>
      <c r="B4513" t="s">
        <v>9185</v>
      </c>
    </row>
    <row r="4514" spans="1:2" x14ac:dyDescent="0.25">
      <c r="A4514" s="1" t="s">
        <v>1470</v>
      </c>
      <c r="B4514" t="s">
        <v>9186</v>
      </c>
    </row>
    <row r="4515" spans="1:2" x14ac:dyDescent="0.25">
      <c r="A4515" s="1" t="s">
        <v>9187</v>
      </c>
      <c r="B4515" t="s">
        <v>9188</v>
      </c>
    </row>
    <row r="4516" spans="1:2" x14ac:dyDescent="0.25">
      <c r="A4516" s="1" t="s">
        <v>9189</v>
      </c>
      <c r="B4516" t="s">
        <v>9190</v>
      </c>
    </row>
    <row r="4517" spans="1:2" x14ac:dyDescent="0.25">
      <c r="A4517" s="1" t="s">
        <v>2355</v>
      </c>
      <c r="B4517" t="s">
        <v>9191</v>
      </c>
    </row>
    <row r="4518" spans="1:2" x14ac:dyDescent="0.25">
      <c r="A4518" s="1" t="s">
        <v>9192</v>
      </c>
      <c r="B4518" t="s">
        <v>9193</v>
      </c>
    </row>
    <row r="4519" spans="1:2" x14ac:dyDescent="0.25">
      <c r="A4519" s="1" t="s">
        <v>5398</v>
      </c>
      <c r="B4519" t="s">
        <v>9194</v>
      </c>
    </row>
    <row r="4520" spans="1:2" x14ac:dyDescent="0.25">
      <c r="A4520" s="1" t="s">
        <v>9195</v>
      </c>
      <c r="B4520" t="s">
        <v>9196</v>
      </c>
    </row>
    <row r="4521" spans="1:2" x14ac:dyDescent="0.25">
      <c r="A4521" s="1" t="s">
        <v>9197</v>
      </c>
      <c r="B4521" t="s">
        <v>9198</v>
      </c>
    </row>
    <row r="4522" spans="1:2" x14ac:dyDescent="0.25">
      <c r="A4522" s="1" t="s">
        <v>9199</v>
      </c>
      <c r="B4522" t="s">
        <v>9200</v>
      </c>
    </row>
    <row r="4523" spans="1:2" x14ac:dyDescent="0.25">
      <c r="A4523" s="1" t="s">
        <v>3501</v>
      </c>
      <c r="B4523" t="s">
        <v>9201</v>
      </c>
    </row>
    <row r="4524" spans="1:2" x14ac:dyDescent="0.25">
      <c r="A4524" s="1" t="s">
        <v>1384</v>
      </c>
      <c r="B4524" t="s">
        <v>9202</v>
      </c>
    </row>
    <row r="4525" spans="1:2" x14ac:dyDescent="0.25">
      <c r="A4525" s="1" t="s">
        <v>9216</v>
      </c>
      <c r="B4525" t="s">
        <v>9217</v>
      </c>
    </row>
    <row r="4526" spans="1:2" x14ac:dyDescent="0.25">
      <c r="A4526" s="1" t="s">
        <v>9218</v>
      </c>
      <c r="B4526" t="s">
        <v>9173</v>
      </c>
    </row>
    <row r="4527" spans="1:2" x14ac:dyDescent="0.25">
      <c r="A4527" s="1" t="s">
        <v>9219</v>
      </c>
      <c r="B4527" t="s">
        <v>9220</v>
      </c>
    </row>
    <row r="4528" spans="1:2" x14ac:dyDescent="0.25">
      <c r="A4528" s="1" t="s">
        <v>9221</v>
      </c>
      <c r="B4528" t="s">
        <v>9222</v>
      </c>
    </row>
    <row r="4529" spans="1:2" x14ac:dyDescent="0.25">
      <c r="A4529" s="1" t="s">
        <v>9227</v>
      </c>
      <c r="B4529" t="s">
        <v>9228</v>
      </c>
    </row>
    <row r="4530" spans="1:2" x14ac:dyDescent="0.25">
      <c r="A4530" s="1" t="s">
        <v>9208</v>
      </c>
      <c r="B4530" t="s">
        <v>9229</v>
      </c>
    </row>
    <row r="4531" spans="1:2" x14ac:dyDescent="0.25">
      <c r="A4531" s="1" t="s">
        <v>9207</v>
      </c>
      <c r="B4531" t="s">
        <v>9230</v>
      </c>
    </row>
    <row r="4532" spans="1:2" x14ac:dyDescent="0.25">
      <c r="A4532" s="1" t="s">
        <v>9231</v>
      </c>
      <c r="B4532" t="s">
        <v>9232</v>
      </c>
    </row>
    <row r="4533" spans="1:2" x14ac:dyDescent="0.25">
      <c r="A4533" s="1" t="s">
        <v>9233</v>
      </c>
      <c r="B4533" t="s">
        <v>9234</v>
      </c>
    </row>
    <row r="4534" spans="1:2" x14ac:dyDescent="0.25">
      <c r="A4534" s="1" t="s">
        <v>9235</v>
      </c>
      <c r="B4534" t="s">
        <v>9236</v>
      </c>
    </row>
    <row r="4535" spans="1:2" x14ac:dyDescent="0.25">
      <c r="A4535" s="1" t="s">
        <v>9209</v>
      </c>
      <c r="B4535" t="s">
        <v>9237</v>
      </c>
    </row>
    <row r="4536" spans="1:2" x14ac:dyDescent="0.25">
      <c r="A4536" s="1" t="s">
        <v>9238</v>
      </c>
      <c r="B4536" t="s">
        <v>9239</v>
      </c>
    </row>
    <row r="4537" spans="1:2" x14ac:dyDescent="0.25">
      <c r="A4537" s="1" t="s">
        <v>9240</v>
      </c>
      <c r="B4537" t="s">
        <v>9241</v>
      </c>
    </row>
    <row r="4538" spans="1:2" x14ac:dyDescent="0.25">
      <c r="A4538" s="1" t="s">
        <v>9204</v>
      </c>
      <c r="B4538" t="s">
        <v>9243</v>
      </c>
    </row>
    <row r="4539" spans="1:2" x14ac:dyDescent="0.25">
      <c r="A4539" s="1" t="s">
        <v>9244</v>
      </c>
      <c r="B4539" t="s">
        <v>9203</v>
      </c>
    </row>
    <row r="4540" spans="1:2" x14ac:dyDescent="0.25">
      <c r="A4540" s="1" t="s">
        <v>9245</v>
      </c>
      <c r="B4540" t="s">
        <v>9246</v>
      </c>
    </row>
    <row r="4541" spans="1:2" x14ac:dyDescent="0.25">
      <c r="A4541" s="1" t="s">
        <v>9247</v>
      </c>
      <c r="B4541" t="s">
        <v>9248</v>
      </c>
    </row>
    <row r="4542" spans="1:2" x14ac:dyDescent="0.25">
      <c r="A4542" s="1" t="s">
        <v>9249</v>
      </c>
      <c r="B4542" t="s">
        <v>9250</v>
      </c>
    </row>
    <row r="4543" spans="1:2" x14ac:dyDescent="0.25">
      <c r="A4543" s="1" t="s">
        <v>9251</v>
      </c>
      <c r="B4543" t="s">
        <v>9252</v>
      </c>
    </row>
    <row r="4544" spans="1:2" x14ac:dyDescent="0.25">
      <c r="A4544" s="1" t="s">
        <v>9253</v>
      </c>
      <c r="B4544" t="s">
        <v>9254</v>
      </c>
    </row>
    <row r="4545" spans="1:2" x14ac:dyDescent="0.25">
      <c r="A4545" s="1" t="s">
        <v>9256</v>
      </c>
      <c r="B4545" t="s">
        <v>9257</v>
      </c>
    </row>
    <row r="4546" spans="1:2" x14ac:dyDescent="0.25">
      <c r="A4546" s="1" t="s">
        <v>9258</v>
      </c>
      <c r="B4546" t="s">
        <v>9259</v>
      </c>
    </row>
    <row r="4547" spans="1:2" x14ac:dyDescent="0.25">
      <c r="A4547" s="1" t="s">
        <v>9260</v>
      </c>
      <c r="B4547" t="s">
        <v>9261</v>
      </c>
    </row>
    <row r="4548" spans="1:2" x14ac:dyDescent="0.25">
      <c r="A4548" s="1" t="s">
        <v>9263</v>
      </c>
      <c r="B4548" t="s">
        <v>9264</v>
      </c>
    </row>
    <row r="4549" spans="1:2" x14ac:dyDescent="0.25">
      <c r="A4549" s="1" t="s">
        <v>9205</v>
      </c>
      <c r="B4549" t="s">
        <v>9206</v>
      </c>
    </row>
    <row r="4550" spans="1:2" x14ac:dyDescent="0.25">
      <c r="A4550" s="1" t="s">
        <v>9285</v>
      </c>
      <c r="B4550" t="s">
        <v>9286</v>
      </c>
    </row>
    <row r="4551" spans="1:2" x14ac:dyDescent="0.25">
      <c r="A4551" s="1" t="s">
        <v>9287</v>
      </c>
      <c r="B4551" t="s">
        <v>1314</v>
      </c>
    </row>
    <row r="4552" spans="1:2" x14ac:dyDescent="0.25">
      <c r="A4552" s="1" t="s">
        <v>9291</v>
      </c>
      <c r="B4552" t="s">
        <v>9292</v>
      </c>
    </row>
    <row r="4553" spans="1:2" x14ac:dyDescent="0.25">
      <c r="A4553" s="1" t="s">
        <v>9293</v>
      </c>
      <c r="B4553" t="s">
        <v>9294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8"/>
  <sheetViews>
    <sheetView workbookViewId="0">
      <selection activeCell="G4" sqref="G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9363</v>
      </c>
      <c r="D3" t="s">
        <v>9365</v>
      </c>
      <c r="F3" t="s">
        <v>9226</v>
      </c>
      <c r="G3" s="2">
        <v>288.89</v>
      </c>
      <c r="H3" s="2">
        <v>0</v>
      </c>
      <c r="I3" s="2">
        <v>28.89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9300</v>
      </c>
    </row>
    <row r="4" spans="1:19" x14ac:dyDescent="0.25">
      <c r="A4" t="s">
        <v>8795</v>
      </c>
      <c r="B4" t="s">
        <v>8796</v>
      </c>
      <c r="C4" t="s">
        <v>9364</v>
      </c>
      <c r="E4" t="s">
        <v>9366</v>
      </c>
      <c r="F4" t="s">
        <v>9226</v>
      </c>
      <c r="G4" s="2">
        <v>277.77</v>
      </c>
      <c r="H4" s="2">
        <v>0</v>
      </c>
      <c r="I4" s="2">
        <v>27.77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9300</v>
      </c>
    </row>
    <row r="5" spans="1:19" x14ac:dyDescent="0.25">
      <c r="A5" t="s">
        <v>8795</v>
      </c>
      <c r="B5" t="s">
        <v>8796</v>
      </c>
      <c r="C5" t="s">
        <v>9301</v>
      </c>
      <c r="D5" t="s">
        <v>1334</v>
      </c>
      <c r="F5" t="s">
        <v>9226</v>
      </c>
      <c r="G5" s="2">
        <v>138.88999999999999</v>
      </c>
      <c r="H5" s="2">
        <v>0</v>
      </c>
      <c r="I5" s="2">
        <v>13.89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9300</v>
      </c>
    </row>
    <row r="6" spans="1:19" x14ac:dyDescent="0.25">
      <c r="A6" t="s">
        <v>8795</v>
      </c>
      <c r="B6" t="s">
        <v>8796</v>
      </c>
      <c r="C6" t="s">
        <v>9367</v>
      </c>
      <c r="E6" s="21" t="s">
        <v>9368</v>
      </c>
      <c r="F6" t="s">
        <v>9226</v>
      </c>
      <c r="G6" s="2">
        <v>338.88</v>
      </c>
      <c r="H6" s="2">
        <v>0</v>
      </c>
      <c r="I6" s="2">
        <v>33.880000000000003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1" t="s">
        <v>9300</v>
      </c>
    </row>
    <row r="7" spans="1:19" x14ac:dyDescent="0.25">
      <c r="S7" s="21"/>
    </row>
    <row r="8" spans="1:19" x14ac:dyDescent="0.25">
      <c r="A8" t="s">
        <v>7719</v>
      </c>
      <c r="G8" s="15">
        <f>SUBTOTAL(109,Tabla9[[MONTO DEVENGADO ]])</f>
        <v>1044.4299999999998</v>
      </c>
      <c r="H8" s="15">
        <f>SUBTOTAL(109,Tabla9[[MONTO DEVENGADO POR BONIFICACIONES Y GRATIFICACIONES ]])</f>
        <v>0</v>
      </c>
      <c r="I8" s="15">
        <f>SUBTOTAL(109,Tabla9[[IMPUESTO RETENIDO ]])</f>
        <v>104.43</v>
      </c>
      <c r="J8" s="15">
        <f>SUBTOTAL(109,Tabla9[[AGUINALDO EXENTO ]])</f>
        <v>0</v>
      </c>
      <c r="K8" s="15">
        <f>SUBTOTAL(109,Tabla9[[AGUINALDO GRAVADO ]])</f>
        <v>0</v>
      </c>
      <c r="L8" s="15">
        <f>SUBTOTAL(109,Tabla9[AFP])</f>
        <v>0</v>
      </c>
      <c r="M8" s="15">
        <f>SUBTOTAL(109,Tabla9[ISSS])</f>
        <v>0</v>
      </c>
      <c r="N8" s="15">
        <f>SUBTOTAL(109,Tabla9[INPEP])</f>
        <v>0</v>
      </c>
      <c r="O8" s="15">
        <f>SUBTOTAL(109,Tabla9[IPSFA])</f>
        <v>0</v>
      </c>
      <c r="P8" s="15">
        <f>SUBTOTAL(109,Tabla9[CEFAFA])</f>
        <v>0</v>
      </c>
      <c r="Q8" s="15">
        <f>SUBTOTAL(109,Tabla9[BIENESTAR MAGISTERIAL])</f>
        <v>0</v>
      </c>
      <c r="R8" s="15">
        <f>SUBTOTAL(109,Tabla9[[ISSS IVM ]])</f>
        <v>0</v>
      </c>
      <c r="S8">
        <f>SUBTOTAL(103,Tabla9[PERIODO])</f>
        <v>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48"/>
  <sheetViews>
    <sheetView showGridLines="0" zoomScaleNormal="100" zoomScaleSheetLayoutView="145" workbookViewId="0">
      <selection activeCell="E5" sqref="E5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6" customFormat="1" ht="44.25" customHeight="1" x14ac:dyDescent="0.2">
      <c r="A1" s="88"/>
      <c r="B1" s="173"/>
      <c r="C1" s="174"/>
      <c r="D1" s="171" t="s">
        <v>8947</v>
      </c>
      <c r="E1" s="172"/>
      <c r="F1" s="172"/>
      <c r="I1" s="87"/>
    </row>
    <row r="3" spans="1:10 16383:16383" ht="21.75" customHeight="1" x14ac:dyDescent="0.25">
      <c r="D3" s="83" t="s">
        <v>8573</v>
      </c>
      <c r="E3" s="84" t="s">
        <v>7944</v>
      </c>
      <c r="F3" s="85" t="s">
        <v>8774</v>
      </c>
      <c r="G3" s="133" t="s">
        <v>8574</v>
      </c>
      <c r="H3" s="83" t="s">
        <v>8775</v>
      </c>
      <c r="I3" s="84" t="s">
        <v>8757</v>
      </c>
      <c r="XFC3" t="s">
        <v>7944</v>
      </c>
    </row>
    <row r="4" spans="1:10 16383:16383" ht="18" customHeight="1" x14ac:dyDescent="0.25">
      <c r="D4" s="90" t="s">
        <v>8758</v>
      </c>
      <c r="E4" s="91">
        <f>ROUND(SUMIFS(Tabla3[[#All],[V GRAVADAS]],Tabla3[[#All],[MES]],Tabla7[[#Headers],[ENERO]])/(1.13),2)</f>
        <v>0</v>
      </c>
      <c r="F4" s="92"/>
      <c r="G4" s="92"/>
      <c r="H4" s="90" t="s">
        <v>8759</v>
      </c>
      <c r="I4" s="99">
        <f>ROUND(F10*0.13-F14*0.13-E16-E17,2)+E18</f>
        <v>343.54691623587672</v>
      </c>
      <c r="XFC4" t="s">
        <v>7981</v>
      </c>
    </row>
    <row r="5" spans="1:10 16383:16383" ht="18" customHeight="1" x14ac:dyDescent="0.25">
      <c r="D5" s="90" t="s">
        <v>74</v>
      </c>
      <c r="E5" s="91">
        <f>ROUND(SUMIFS(Tabla3[[#All],[V EXENTA]],Tabla3[[#All],[MES]],Tabla7[[#Headers],[ENERO]]),2)</f>
        <v>1330.33</v>
      </c>
      <c r="F5" s="92"/>
      <c r="G5" s="131"/>
      <c r="H5" s="90" t="s">
        <v>8761</v>
      </c>
      <c r="I5" s="99">
        <f>ROUND(F9*0.0175,2)+E19</f>
        <v>253.85</v>
      </c>
      <c r="XFC5" t="s">
        <v>8153</v>
      </c>
    </row>
    <row r="6" spans="1:10 16383:16383" ht="18" customHeight="1" x14ac:dyDescent="0.25">
      <c r="D6" s="90" t="s">
        <v>9225</v>
      </c>
      <c r="E6" s="91">
        <f>ROUND(SUMIFS(Tabla3[[#All],[V NO SUJETAS]],Tabla3[[#All],[MES]],Tabla7[[#Headers],[ENERO]]),2)</f>
        <v>0</v>
      </c>
      <c r="F6" s="92" t="str">
        <f>IFERROR(+E3+E4-E5,"")</f>
        <v/>
      </c>
      <c r="G6" s="92"/>
      <c r="H6" s="106" t="s">
        <v>8763</v>
      </c>
      <c r="I6" s="100">
        <f>SUM(I4:I5)</f>
        <v>597.39691623587669</v>
      </c>
      <c r="XFC6" t="s">
        <v>8265</v>
      </c>
    </row>
    <row r="7" spans="1:10 16383:16383" ht="18" customHeight="1" x14ac:dyDescent="0.25">
      <c r="D7" s="90" t="s">
        <v>8760</v>
      </c>
      <c r="E7" s="91">
        <f>ROUND(SUMIFS(Tabla2[[#All],[V. GRAVADA]],Tabla2[[#All],[MES]],Tabla7[[#Headers],[ENERO]],Tabla2[[#All],[TIPO DE DOC]],3),2)</f>
        <v>6023.89</v>
      </c>
      <c r="F7" s="92"/>
      <c r="G7" s="131"/>
      <c r="H7" s="81"/>
      <c r="I7" s="82"/>
      <c r="XFC7" t="s">
        <v>8322</v>
      </c>
    </row>
    <row r="8" spans="1:10 16383:16383" ht="18" customHeight="1" x14ac:dyDescent="0.25">
      <c r="D8" s="90" t="s">
        <v>9223</v>
      </c>
      <c r="E8" s="91">
        <f>ROUND(SUMIFS(Tabla3[[#All],[EX SERVICE]],Tabla3[[#All],[MES]],Tabla7[[#Headers],[ENERO]]),2)</f>
        <v>1183.97</v>
      </c>
      <c r="F8" s="92"/>
      <c r="G8" s="92"/>
      <c r="H8" s="76"/>
      <c r="I8" s="77"/>
      <c r="J8" s="15"/>
      <c r="XFC8" t="s">
        <v>8323</v>
      </c>
    </row>
    <row r="9" spans="1:10 16383:16383" ht="18" customHeight="1" x14ac:dyDescent="0.25">
      <c r="D9" s="90" t="s">
        <v>8762</v>
      </c>
      <c r="E9" s="91">
        <f>ROUND(SUMIFS(Tabla2[[#All],[V. GRAVADA]],Tabla2[[#All],[MES]],Tabla7[[#Headers],[ENERO]],Tabla2[[#All],[TIPO DE DOC]],5),2)</f>
        <v>0</v>
      </c>
      <c r="F9" s="120">
        <f>SUM(E4:E8)-Tabla7[[#This Row],[ENERO]]</f>
        <v>8538.19</v>
      </c>
      <c r="G9" s="92"/>
      <c r="H9" s="76"/>
      <c r="I9" s="77"/>
      <c r="J9" s="15"/>
      <c r="XFC9" t="s">
        <v>8324</v>
      </c>
    </row>
    <row r="10" spans="1:10 16383:16383" ht="18" customHeight="1" x14ac:dyDescent="0.25">
      <c r="D10" s="113" t="s">
        <v>8772</v>
      </c>
      <c r="E10" s="114"/>
      <c r="F10" s="115">
        <f>+E4+E7-E9</f>
        <v>6023.89</v>
      </c>
      <c r="G10" s="132"/>
      <c r="XFC10" t="s">
        <v>8325</v>
      </c>
    </row>
    <row r="11" spans="1:10 16383:16383" ht="18" customHeight="1" x14ac:dyDescent="0.25">
      <c r="D11" s="90" t="s">
        <v>8764</v>
      </c>
      <c r="E11" s="91">
        <f>SUMIFS(Tabla1[[#All],[C. GRAVADA]],Tabla1[[#All],[MES]],Tabla7[[#Headers],[ENERO]],Tabla1[[#All],[TIPO DE DOC]],"03")</f>
        <v>2233.8400000000011</v>
      </c>
      <c r="F11" s="93"/>
      <c r="G11" s="95">
        <f>+E7*0.13</f>
        <v>783.10570000000007</v>
      </c>
      <c r="XFC11" t="s">
        <v>8326</v>
      </c>
    </row>
    <row r="12" spans="1:10 16383:16383" ht="18" customHeight="1" x14ac:dyDescent="0.25">
      <c r="D12" s="90" t="s">
        <v>8765</v>
      </c>
      <c r="E12" s="91">
        <f>SUMIFS(Tabla1[[#All],[IMPOR BIENES]],Tabla1[[#All],[MES]],Tabla7[[#Headers],[ENERO]],Tabla1[[#All],[TIPO DE DOC]],12)</f>
        <v>0</v>
      </c>
      <c r="F12" s="93"/>
      <c r="G12" s="95"/>
      <c r="XFC12" t="s">
        <v>8327</v>
      </c>
    </row>
    <row r="13" spans="1:10 16383:16383" ht="18" customHeight="1" x14ac:dyDescent="0.25">
      <c r="D13" s="90" t="s">
        <v>8766</v>
      </c>
      <c r="E13" s="91">
        <f>SUMIFS(Tabla1[[#All],[C. GRAVADA]],Tabla1[[#All],[MES]],Tabla7[[#Headers],[ENERO]],Tabla1[[#All],[TIPO DE DOC]],"05")</f>
        <v>0</v>
      </c>
      <c r="F13" s="94"/>
      <c r="G13" s="132"/>
      <c r="XFC13" t="s">
        <v>8328</v>
      </c>
    </row>
    <row r="14" spans="1:10 16383:16383" ht="18" customHeight="1" x14ac:dyDescent="0.25">
      <c r="D14" s="113" t="s">
        <v>8773</v>
      </c>
      <c r="E14" s="114"/>
      <c r="F14" s="115">
        <f>IFERROR(+E11+E12-E13,"")</f>
        <v>2233.8400000000011</v>
      </c>
      <c r="G14" s="132"/>
      <c r="XFC14" t="s">
        <v>8329</v>
      </c>
    </row>
    <row r="15" spans="1:10 16383:16383" ht="18" customHeight="1" x14ac:dyDescent="0.25">
      <c r="D15" s="90" t="s">
        <v>8767</v>
      </c>
      <c r="E15" s="91">
        <f>SUMIFS(Tabla1[[#All],[C. EXENTAS]],Tabla1[[#All],[MES]],Tabla7[[#Headers],[ENERO]],Tabla1[[#All],[TIPO DE DOC]],"03")</f>
        <v>100.94290000000001</v>
      </c>
      <c r="F15" s="95"/>
      <c r="G15" s="132"/>
    </row>
    <row r="16" spans="1:10 16383:16383" ht="18" customHeight="1" x14ac:dyDescent="0.25">
      <c r="D16" s="90" t="s">
        <v>8768</v>
      </c>
      <c r="E16" s="91">
        <f>SUMIFS(Tabla1[[#All],[PERCEPCIONES]],Tabla1[[#All],[MES]],Tabla7[[#Headers],[ENERO]],Tabla1[[#All],[TIPO DE DOC]],"03")</f>
        <v>0</v>
      </c>
      <c r="F16" s="96"/>
      <c r="G16" s="132"/>
    </row>
    <row r="17" spans="4:7" x14ac:dyDescent="0.25">
      <c r="D17" s="90" t="s">
        <v>8769</v>
      </c>
      <c r="E17" s="91">
        <f>SUMIFS(Tabla6[[#Headers],[#Data],[Monto Retención 1%]],Tabla6[[#Headers],[#Data],[Mes]],Tabla7[[#Headers],[ENERO]])</f>
        <v>194.41050000000001</v>
      </c>
      <c r="F17" s="97"/>
      <c r="G17" s="132"/>
    </row>
    <row r="18" spans="4:7" x14ac:dyDescent="0.25">
      <c r="D18" s="161" t="s">
        <v>9224</v>
      </c>
      <c r="E18" s="162">
        <f>(F14*0.13)*(F9+E5+E6)/F9-(F14*0.13)</f>
        <v>45.246916235876711</v>
      </c>
      <c r="F18" s="163"/>
      <c r="G18" s="132"/>
    </row>
    <row r="19" spans="4:7" x14ac:dyDescent="0.25">
      <c r="D19" s="121" t="s">
        <v>9242</v>
      </c>
      <c r="E19" s="98">
        <f>Tabla9[[#Totals],[IMPUESTO RETENIDO ]]</f>
        <v>104.43</v>
      </c>
      <c r="F19" s="95"/>
      <c r="G19" s="132"/>
    </row>
    <row r="23" spans="4:7" x14ac:dyDescent="0.25">
      <c r="G23" s="130">
        <f>+F14*0.13</f>
        <v>290.39920000000012</v>
      </c>
    </row>
    <row r="34" spans="4:11" ht="15.75" thickBot="1" x14ac:dyDescent="0.3"/>
    <row r="35" spans="4:11" x14ac:dyDescent="0.25">
      <c r="D35" s="175" t="s">
        <v>9324</v>
      </c>
      <c r="E35" s="176"/>
      <c r="F35" s="176"/>
      <c r="G35" s="176"/>
      <c r="H35" s="176"/>
      <c r="I35" s="176"/>
      <c r="J35" s="176"/>
      <c r="K35" s="177"/>
    </row>
    <row r="36" spans="4:11" ht="15.75" thickBot="1" x14ac:dyDescent="0.3">
      <c r="D36" s="178"/>
      <c r="E36" s="179"/>
      <c r="F36" s="179"/>
      <c r="G36" s="179"/>
      <c r="H36" s="179"/>
      <c r="I36" s="179"/>
      <c r="J36" s="179"/>
      <c r="K36" s="180"/>
    </row>
    <row r="37" spans="4:11" ht="15.75" x14ac:dyDescent="0.25">
      <c r="D37" s="152" t="str">
        <f>Tabla7[[#Headers],[ENERO]]</f>
        <v>ENERO</v>
      </c>
      <c r="E37" s="153"/>
      <c r="F37" s="153"/>
      <c r="G37" s="153"/>
      <c r="H37" s="153"/>
      <c r="I37" s="153"/>
      <c r="J37" s="153"/>
      <c r="K37" s="153"/>
    </row>
    <row r="38" spans="4:11" ht="15.75" x14ac:dyDescent="0.25">
      <c r="D38" s="170" t="s">
        <v>9325</v>
      </c>
      <c r="E38" s="170"/>
      <c r="F38" s="153"/>
      <c r="G38" s="181" t="s">
        <v>9326</v>
      </c>
      <c r="H38" s="181"/>
      <c r="I38" s="153"/>
      <c r="J38" s="170" t="s">
        <v>9327</v>
      </c>
      <c r="K38" s="170"/>
    </row>
    <row r="39" spans="4:11" ht="15.75" x14ac:dyDescent="0.25">
      <c r="D39" s="154" t="s">
        <v>9328</v>
      </c>
      <c r="E39" s="155">
        <f>E7</f>
        <v>6023.89</v>
      </c>
      <c r="F39" s="153"/>
      <c r="G39" s="154" t="s">
        <v>9329</v>
      </c>
      <c r="H39" s="155">
        <f>E15</f>
        <v>100.94290000000001</v>
      </c>
      <c r="I39" s="153"/>
      <c r="J39" s="154" t="s">
        <v>9338</v>
      </c>
      <c r="K39" s="155">
        <f>E17</f>
        <v>194.41050000000001</v>
      </c>
    </row>
    <row r="40" spans="4:11" ht="15.75" x14ac:dyDescent="0.25">
      <c r="D40" s="154" t="s">
        <v>9330</v>
      </c>
      <c r="E40" s="155">
        <f>E4</f>
        <v>0</v>
      </c>
      <c r="F40" s="153"/>
      <c r="G40" s="154" t="s">
        <v>9331</v>
      </c>
      <c r="H40" s="155">
        <f>E11</f>
        <v>2233.8400000000011</v>
      </c>
      <c r="I40" s="153"/>
      <c r="J40" s="154" t="s">
        <v>9224</v>
      </c>
      <c r="K40" s="155">
        <f>+(H41*0.13)*(E44+E43+E42)/E44-(H41*0.13)</f>
        <v>45.246916235876711</v>
      </c>
    </row>
    <row r="41" spans="4:11" ht="16.5" thickBot="1" x14ac:dyDescent="0.3">
      <c r="D41" s="154" t="s">
        <v>9332</v>
      </c>
      <c r="E41" s="155">
        <f>E8</f>
        <v>1183.97</v>
      </c>
      <c r="F41" s="153"/>
      <c r="G41" s="156" t="s">
        <v>8763</v>
      </c>
      <c r="H41" s="157">
        <f>+H40</f>
        <v>2233.8400000000011</v>
      </c>
      <c r="I41" s="153"/>
      <c r="J41" s="153"/>
      <c r="K41" s="153"/>
    </row>
    <row r="42" spans="4:11" ht="16.5" thickTop="1" x14ac:dyDescent="0.25">
      <c r="D42" s="154" t="s">
        <v>9333</v>
      </c>
      <c r="E42" s="155">
        <f>E6</f>
        <v>0</v>
      </c>
      <c r="F42" s="153"/>
      <c r="G42" s="153"/>
      <c r="H42" s="153"/>
      <c r="I42" s="153"/>
      <c r="J42" s="153"/>
      <c r="K42" s="153"/>
    </row>
    <row r="43" spans="4:11" ht="15.75" x14ac:dyDescent="0.25">
      <c r="D43" s="154" t="s">
        <v>9334</v>
      </c>
      <c r="E43" s="155">
        <f>E5</f>
        <v>1330.33</v>
      </c>
      <c r="F43" s="153"/>
      <c r="G43" s="153"/>
      <c r="H43" s="153"/>
      <c r="I43" s="153"/>
      <c r="J43" s="153"/>
      <c r="K43" s="153"/>
    </row>
    <row r="44" spans="4:11" ht="16.5" thickBot="1" x14ac:dyDescent="0.3">
      <c r="D44" s="158" t="s">
        <v>8763</v>
      </c>
      <c r="E44" s="157">
        <f>SUM(E39:E43)</f>
        <v>8538.19</v>
      </c>
      <c r="F44" s="153"/>
      <c r="G44" s="170" t="s">
        <v>9335</v>
      </c>
      <c r="H44" s="170"/>
      <c r="I44" s="153"/>
      <c r="J44" s="153" t="s">
        <v>9339</v>
      </c>
      <c r="K44" s="160">
        <f>E19</f>
        <v>104.43</v>
      </c>
    </row>
    <row r="45" spans="4:11" ht="16.5" thickTop="1" x14ac:dyDescent="0.25">
      <c r="D45" s="153"/>
      <c r="E45" s="153"/>
      <c r="F45" s="153"/>
      <c r="G45" s="154" t="s">
        <v>8759</v>
      </c>
      <c r="H45" s="159">
        <f>+(E39+E40)*0.13-(H40*0.13)+K40-K39</f>
        <v>343.54291623587659</v>
      </c>
      <c r="I45" s="160"/>
      <c r="J45" s="153"/>
      <c r="K45" s="153"/>
    </row>
    <row r="46" spans="4:11" ht="15.75" x14ac:dyDescent="0.25">
      <c r="D46" s="153"/>
      <c r="E46" s="153"/>
      <c r="F46" s="153"/>
      <c r="G46" s="154" t="s">
        <v>9336</v>
      </c>
      <c r="H46" s="155">
        <f>+(E44*0.0175)+K44</f>
        <v>253.84832500000002</v>
      </c>
      <c r="I46" s="153"/>
      <c r="J46" s="153"/>
      <c r="K46" s="153"/>
    </row>
    <row r="47" spans="4:11" ht="16.5" thickBot="1" x14ac:dyDescent="0.3">
      <c r="D47" s="153"/>
      <c r="E47" s="153"/>
      <c r="F47" s="153"/>
      <c r="G47" s="156" t="s">
        <v>9337</v>
      </c>
      <c r="H47" s="157">
        <f>SUM(H45:H46)</f>
        <v>597.39124123587658</v>
      </c>
      <c r="I47" s="153"/>
      <c r="J47" s="153"/>
      <c r="K47" s="153"/>
    </row>
    <row r="48" spans="4:11" ht="15.75" thickTop="1" x14ac:dyDescent="0.25">
      <c r="I48"/>
    </row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disablePrompts="1"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scale="80" orientation="portrait" r:id="rId1"/>
  <colBreaks count="1" manualBreakCount="1">
    <brk id="6" max="1048575" man="1"/>
  </colBreaks>
  <drawing r:id="rId2"/>
  <legacyDrawing r:id="rId3"/>
  <picture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2024-09-11T16:04:09Z</dcterms:modified>
</cp:coreProperties>
</file>