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/>
  </bookViews>
  <sheets>
    <sheet name="Hoja1" sheetId="1" r:id="rId1"/>
  </sheets>
  <externalReferences>
    <externalReference r:id="rId2"/>
    <externalReference r:id="rId3"/>
  </externalReferences>
  <definedNames>
    <definedName name="_xlnm._FilterDatabase" localSheetId="0" hidden="1">Hoja1!$A$1:$X$601</definedName>
    <definedName name="_xlnm.Print_Area" localSheetId="0">Hoja1!$A$1:$U$194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0" i="1" l="1"/>
  <c r="M448" i="1"/>
  <c r="M447" i="1"/>
  <c r="M442" i="1"/>
  <c r="M439" i="1"/>
  <c r="M436" i="1" l="1"/>
  <c r="M435" i="1"/>
  <c r="M434" i="1"/>
  <c r="M433" i="1"/>
  <c r="M432" i="1"/>
  <c r="M431" i="1"/>
  <c r="M430" i="1"/>
  <c r="G429" i="1"/>
  <c r="M426" i="1"/>
  <c r="M425" i="1"/>
  <c r="M424" i="1"/>
  <c r="M423" i="1"/>
  <c r="M422" i="1"/>
  <c r="M420" i="1"/>
  <c r="M419" i="1"/>
  <c r="M418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8" i="1"/>
  <c r="M397" i="1"/>
  <c r="M396" i="1"/>
  <c r="M395" i="1"/>
  <c r="M394" i="1"/>
  <c r="M393" i="1"/>
  <c r="M392" i="1"/>
  <c r="M391" i="1"/>
  <c r="M390" i="1"/>
  <c r="M389" i="1"/>
  <c r="M387" i="1"/>
  <c r="M386" i="1"/>
  <c r="M385" i="1"/>
  <c r="M384" i="1"/>
  <c r="M383" i="1"/>
  <c r="M382" i="1"/>
  <c r="M381" i="1"/>
  <c r="M380" i="1"/>
  <c r="M379" i="1"/>
  <c r="M378" i="1"/>
  <c r="M376" i="1"/>
  <c r="M375" i="1"/>
  <c r="M374" i="1"/>
  <c r="M373" i="1"/>
  <c r="M372" i="1"/>
  <c r="M371" i="1"/>
  <c r="M370" i="1"/>
  <c r="M369" i="1"/>
  <c r="M368" i="1"/>
  <c r="M367" i="1"/>
  <c r="M366" i="1"/>
  <c r="M364" i="1"/>
  <c r="G364" i="1"/>
  <c r="M363" i="1"/>
  <c r="M361" i="1"/>
  <c r="M360" i="1"/>
  <c r="M358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3" i="1"/>
  <c r="M332" i="1"/>
  <c r="M331" i="1"/>
  <c r="M330" i="1"/>
  <c r="M329" i="1"/>
  <c r="M328" i="1"/>
  <c r="M327" i="1"/>
  <c r="M326" i="1"/>
  <c r="M325" i="1"/>
  <c r="M324" i="1"/>
  <c r="M323" i="1"/>
  <c r="U601" i="1"/>
  <c r="T601" i="1"/>
  <c r="L601" i="1"/>
  <c r="G601" i="1"/>
  <c r="D601" i="1"/>
  <c r="C601" i="1"/>
  <c r="U600" i="1"/>
  <c r="T600" i="1"/>
  <c r="L600" i="1"/>
  <c r="G600" i="1"/>
  <c r="D600" i="1"/>
  <c r="C600" i="1"/>
  <c r="U599" i="1"/>
  <c r="T599" i="1"/>
  <c r="L599" i="1"/>
  <c r="G599" i="1"/>
  <c r="D599" i="1"/>
  <c r="C599" i="1"/>
  <c r="U598" i="1"/>
  <c r="T598" i="1"/>
  <c r="L598" i="1"/>
  <c r="G598" i="1"/>
  <c r="D598" i="1"/>
  <c r="C598" i="1"/>
  <c r="U597" i="1"/>
  <c r="T597" i="1"/>
  <c r="L597" i="1"/>
  <c r="G597" i="1"/>
  <c r="D597" i="1"/>
  <c r="C597" i="1"/>
  <c r="U596" i="1"/>
  <c r="T596" i="1"/>
  <c r="L596" i="1"/>
  <c r="G596" i="1"/>
  <c r="D596" i="1"/>
  <c r="C596" i="1"/>
  <c r="U595" i="1"/>
  <c r="T595" i="1"/>
  <c r="L595" i="1"/>
  <c r="G595" i="1"/>
  <c r="D595" i="1"/>
  <c r="C595" i="1"/>
  <c r="U594" i="1"/>
  <c r="T594" i="1"/>
  <c r="L594" i="1"/>
  <c r="G594" i="1"/>
  <c r="D594" i="1"/>
  <c r="C594" i="1"/>
  <c r="U593" i="1"/>
  <c r="T593" i="1"/>
  <c r="L593" i="1"/>
  <c r="G593" i="1"/>
  <c r="D593" i="1"/>
  <c r="C593" i="1"/>
  <c r="U592" i="1"/>
  <c r="T592" i="1"/>
  <c r="L592" i="1"/>
  <c r="G592" i="1"/>
  <c r="D592" i="1"/>
  <c r="C592" i="1"/>
  <c r="U591" i="1"/>
  <c r="T591" i="1"/>
  <c r="L591" i="1"/>
  <c r="G591" i="1"/>
  <c r="D591" i="1"/>
  <c r="C591" i="1"/>
  <c r="U590" i="1"/>
  <c r="T590" i="1"/>
  <c r="L590" i="1"/>
  <c r="G590" i="1"/>
  <c r="D590" i="1"/>
  <c r="C590" i="1"/>
  <c r="U589" i="1"/>
  <c r="T589" i="1"/>
  <c r="L589" i="1"/>
  <c r="G589" i="1"/>
  <c r="D589" i="1"/>
  <c r="C589" i="1"/>
  <c r="U588" i="1"/>
  <c r="T588" i="1"/>
  <c r="L588" i="1"/>
  <c r="G588" i="1"/>
  <c r="D588" i="1"/>
  <c r="C588" i="1"/>
  <c r="U587" i="1"/>
  <c r="T587" i="1"/>
  <c r="L587" i="1"/>
  <c r="G587" i="1"/>
  <c r="D587" i="1"/>
  <c r="C587" i="1"/>
  <c r="U586" i="1"/>
  <c r="T586" i="1"/>
  <c r="L586" i="1"/>
  <c r="G586" i="1"/>
  <c r="D586" i="1"/>
  <c r="C586" i="1"/>
  <c r="U585" i="1"/>
  <c r="T585" i="1"/>
  <c r="L585" i="1"/>
  <c r="G585" i="1"/>
  <c r="D585" i="1"/>
  <c r="C585" i="1"/>
  <c r="U584" i="1"/>
  <c r="T584" i="1"/>
  <c r="L584" i="1"/>
  <c r="G584" i="1"/>
  <c r="D584" i="1"/>
  <c r="C584" i="1"/>
  <c r="U583" i="1"/>
  <c r="T583" i="1"/>
  <c r="L583" i="1"/>
  <c r="G583" i="1"/>
  <c r="D583" i="1"/>
  <c r="C583" i="1"/>
  <c r="U582" i="1"/>
  <c r="T582" i="1"/>
  <c r="L582" i="1"/>
  <c r="G582" i="1"/>
  <c r="D582" i="1"/>
  <c r="C582" i="1"/>
  <c r="U581" i="1"/>
  <c r="T581" i="1"/>
  <c r="L581" i="1"/>
  <c r="G581" i="1"/>
  <c r="D581" i="1"/>
  <c r="C581" i="1"/>
  <c r="U580" i="1"/>
  <c r="T580" i="1"/>
  <c r="L580" i="1"/>
  <c r="G580" i="1"/>
  <c r="D580" i="1"/>
  <c r="C580" i="1"/>
  <c r="U579" i="1"/>
  <c r="T579" i="1"/>
  <c r="L579" i="1"/>
  <c r="G579" i="1"/>
  <c r="D579" i="1"/>
  <c r="C579" i="1"/>
  <c r="U578" i="1"/>
  <c r="T578" i="1"/>
  <c r="L578" i="1"/>
  <c r="G578" i="1"/>
  <c r="D578" i="1"/>
  <c r="C578" i="1"/>
  <c r="U577" i="1"/>
  <c r="T577" i="1"/>
  <c r="L577" i="1"/>
  <c r="G577" i="1"/>
  <c r="D577" i="1"/>
  <c r="C577" i="1"/>
  <c r="U576" i="1"/>
  <c r="T576" i="1"/>
  <c r="L576" i="1"/>
  <c r="G576" i="1"/>
  <c r="D576" i="1"/>
  <c r="C576" i="1"/>
  <c r="U575" i="1"/>
  <c r="T575" i="1"/>
  <c r="L575" i="1"/>
  <c r="G575" i="1"/>
  <c r="D575" i="1"/>
  <c r="C575" i="1"/>
  <c r="U574" i="1"/>
  <c r="T574" i="1"/>
  <c r="L574" i="1"/>
  <c r="G574" i="1"/>
  <c r="D574" i="1"/>
  <c r="C574" i="1"/>
  <c r="U573" i="1"/>
  <c r="T573" i="1"/>
  <c r="L573" i="1"/>
  <c r="G573" i="1"/>
  <c r="D573" i="1"/>
  <c r="C573" i="1"/>
  <c r="U572" i="1"/>
  <c r="T572" i="1"/>
  <c r="L572" i="1"/>
  <c r="G572" i="1"/>
  <c r="D572" i="1"/>
  <c r="C572" i="1"/>
  <c r="U571" i="1"/>
  <c r="T571" i="1"/>
  <c r="L571" i="1"/>
  <c r="G571" i="1"/>
  <c r="D571" i="1"/>
  <c r="C571" i="1"/>
  <c r="U570" i="1"/>
  <c r="T570" i="1"/>
  <c r="L570" i="1"/>
  <c r="G570" i="1"/>
  <c r="D570" i="1"/>
  <c r="C570" i="1"/>
  <c r="U569" i="1"/>
  <c r="T569" i="1"/>
  <c r="L569" i="1"/>
  <c r="G569" i="1"/>
  <c r="D569" i="1"/>
  <c r="C569" i="1"/>
  <c r="U568" i="1"/>
  <c r="T568" i="1"/>
  <c r="L568" i="1"/>
  <c r="G568" i="1"/>
  <c r="D568" i="1"/>
  <c r="C568" i="1"/>
  <c r="U567" i="1"/>
  <c r="T567" i="1"/>
  <c r="L567" i="1"/>
  <c r="G567" i="1"/>
  <c r="D567" i="1"/>
  <c r="C567" i="1"/>
  <c r="U566" i="1"/>
  <c r="T566" i="1"/>
  <c r="L566" i="1"/>
  <c r="G566" i="1"/>
  <c r="D566" i="1"/>
  <c r="C566" i="1"/>
  <c r="U565" i="1"/>
  <c r="T565" i="1"/>
  <c r="L565" i="1"/>
  <c r="G565" i="1"/>
  <c r="D565" i="1"/>
  <c r="C565" i="1"/>
  <c r="U564" i="1"/>
  <c r="T564" i="1"/>
  <c r="L564" i="1"/>
  <c r="G564" i="1"/>
  <c r="D564" i="1"/>
  <c r="C564" i="1"/>
  <c r="U563" i="1"/>
  <c r="T563" i="1"/>
  <c r="L563" i="1"/>
  <c r="G563" i="1"/>
  <c r="D563" i="1"/>
  <c r="C563" i="1"/>
  <c r="U562" i="1"/>
  <c r="T562" i="1"/>
  <c r="L562" i="1"/>
  <c r="G562" i="1"/>
  <c r="D562" i="1"/>
  <c r="C562" i="1"/>
  <c r="U561" i="1"/>
  <c r="T561" i="1"/>
  <c r="L561" i="1"/>
  <c r="G561" i="1"/>
  <c r="D561" i="1"/>
  <c r="C561" i="1"/>
  <c r="U560" i="1"/>
  <c r="T560" i="1"/>
  <c r="L560" i="1"/>
  <c r="G560" i="1"/>
  <c r="D560" i="1"/>
  <c r="C560" i="1"/>
  <c r="U559" i="1"/>
  <c r="T559" i="1"/>
  <c r="L559" i="1"/>
  <c r="G559" i="1"/>
  <c r="D559" i="1"/>
  <c r="C559" i="1"/>
  <c r="U558" i="1"/>
  <c r="T558" i="1"/>
  <c r="L558" i="1"/>
  <c r="G558" i="1"/>
  <c r="D558" i="1"/>
  <c r="C558" i="1"/>
  <c r="U557" i="1"/>
  <c r="T557" i="1"/>
  <c r="L557" i="1"/>
  <c r="G557" i="1"/>
  <c r="D557" i="1"/>
  <c r="C557" i="1"/>
  <c r="U556" i="1"/>
  <c r="T556" i="1"/>
  <c r="L556" i="1"/>
  <c r="G556" i="1"/>
  <c r="D556" i="1"/>
  <c r="C556" i="1"/>
  <c r="U555" i="1"/>
  <c r="T555" i="1"/>
  <c r="L555" i="1"/>
  <c r="G555" i="1"/>
  <c r="D555" i="1"/>
  <c r="C555" i="1"/>
  <c r="U554" i="1"/>
  <c r="T554" i="1"/>
  <c r="L554" i="1"/>
  <c r="G554" i="1"/>
  <c r="D554" i="1"/>
  <c r="C554" i="1"/>
  <c r="U553" i="1"/>
  <c r="T553" i="1"/>
  <c r="L553" i="1"/>
  <c r="G553" i="1"/>
  <c r="D553" i="1"/>
  <c r="C553" i="1"/>
  <c r="U552" i="1"/>
  <c r="T552" i="1"/>
  <c r="L552" i="1"/>
  <c r="G552" i="1"/>
  <c r="D552" i="1"/>
  <c r="C552" i="1"/>
  <c r="U551" i="1"/>
  <c r="T551" i="1"/>
  <c r="L551" i="1"/>
  <c r="G551" i="1"/>
  <c r="D551" i="1"/>
  <c r="C551" i="1"/>
  <c r="U550" i="1"/>
  <c r="T550" i="1"/>
  <c r="L550" i="1"/>
  <c r="G550" i="1"/>
  <c r="D550" i="1"/>
  <c r="C550" i="1"/>
  <c r="U549" i="1"/>
  <c r="T549" i="1"/>
  <c r="L549" i="1"/>
  <c r="G549" i="1"/>
  <c r="D549" i="1"/>
  <c r="C549" i="1"/>
  <c r="U548" i="1"/>
  <c r="T548" i="1"/>
  <c r="L548" i="1"/>
  <c r="G548" i="1"/>
  <c r="D548" i="1"/>
  <c r="C548" i="1"/>
  <c r="U547" i="1"/>
  <c r="T547" i="1"/>
  <c r="L547" i="1"/>
  <c r="G547" i="1"/>
  <c r="D547" i="1"/>
  <c r="C547" i="1"/>
  <c r="U546" i="1"/>
  <c r="T546" i="1"/>
  <c r="L546" i="1"/>
  <c r="G546" i="1"/>
  <c r="D546" i="1"/>
  <c r="C546" i="1"/>
  <c r="U545" i="1"/>
  <c r="T545" i="1"/>
  <c r="L545" i="1"/>
  <c r="G545" i="1"/>
  <c r="D545" i="1"/>
  <c r="C545" i="1"/>
  <c r="U544" i="1"/>
  <c r="T544" i="1"/>
  <c r="L544" i="1"/>
  <c r="G544" i="1"/>
  <c r="D544" i="1"/>
  <c r="C544" i="1"/>
  <c r="U543" i="1"/>
  <c r="T543" i="1"/>
  <c r="L543" i="1"/>
  <c r="G543" i="1"/>
  <c r="D543" i="1"/>
  <c r="C543" i="1"/>
  <c r="U542" i="1"/>
  <c r="T542" i="1"/>
  <c r="L542" i="1"/>
  <c r="G542" i="1"/>
  <c r="D542" i="1"/>
  <c r="C542" i="1"/>
  <c r="U541" i="1"/>
  <c r="T541" i="1"/>
  <c r="L541" i="1"/>
  <c r="G541" i="1"/>
  <c r="D541" i="1"/>
  <c r="C541" i="1"/>
  <c r="U540" i="1"/>
  <c r="T540" i="1"/>
  <c r="L540" i="1"/>
  <c r="G540" i="1"/>
  <c r="D540" i="1"/>
  <c r="C540" i="1"/>
  <c r="U539" i="1"/>
  <c r="T539" i="1"/>
  <c r="L539" i="1"/>
  <c r="G539" i="1"/>
  <c r="D539" i="1"/>
  <c r="C539" i="1"/>
  <c r="U538" i="1"/>
  <c r="T538" i="1"/>
  <c r="L538" i="1"/>
  <c r="G538" i="1"/>
  <c r="D538" i="1"/>
  <c r="C538" i="1"/>
  <c r="U537" i="1"/>
  <c r="T537" i="1"/>
  <c r="L537" i="1"/>
  <c r="G537" i="1"/>
  <c r="D537" i="1"/>
  <c r="C537" i="1"/>
  <c r="U536" i="1"/>
  <c r="T536" i="1"/>
  <c r="L536" i="1"/>
  <c r="G536" i="1"/>
  <c r="D536" i="1"/>
  <c r="C536" i="1"/>
  <c r="U535" i="1"/>
  <c r="T535" i="1"/>
  <c r="L535" i="1"/>
  <c r="G535" i="1"/>
  <c r="D535" i="1"/>
  <c r="C535" i="1"/>
  <c r="U534" i="1"/>
  <c r="T534" i="1"/>
  <c r="L534" i="1"/>
  <c r="G534" i="1"/>
  <c r="D534" i="1"/>
  <c r="C534" i="1"/>
  <c r="U533" i="1"/>
  <c r="T533" i="1"/>
  <c r="L533" i="1"/>
  <c r="G533" i="1"/>
  <c r="D533" i="1"/>
  <c r="C533" i="1"/>
  <c r="U532" i="1"/>
  <c r="T532" i="1"/>
  <c r="L532" i="1"/>
  <c r="G532" i="1"/>
  <c r="D532" i="1"/>
  <c r="C532" i="1"/>
  <c r="U531" i="1"/>
  <c r="T531" i="1"/>
  <c r="L531" i="1"/>
  <c r="G531" i="1"/>
  <c r="D531" i="1"/>
  <c r="C531" i="1"/>
  <c r="U530" i="1"/>
  <c r="T530" i="1"/>
  <c r="L530" i="1"/>
  <c r="D530" i="1"/>
  <c r="G530" i="1" s="1"/>
  <c r="C530" i="1"/>
  <c r="U529" i="1"/>
  <c r="T529" i="1"/>
  <c r="L529" i="1"/>
  <c r="G529" i="1"/>
  <c r="D529" i="1"/>
  <c r="C529" i="1"/>
  <c r="U528" i="1"/>
  <c r="T528" i="1"/>
  <c r="L528" i="1"/>
  <c r="D528" i="1"/>
  <c r="G528" i="1" s="1"/>
  <c r="C528" i="1"/>
  <c r="U527" i="1"/>
  <c r="T527" i="1"/>
  <c r="L527" i="1"/>
  <c r="G527" i="1"/>
  <c r="D527" i="1"/>
  <c r="C527" i="1"/>
  <c r="U526" i="1"/>
  <c r="T526" i="1"/>
  <c r="L526" i="1"/>
  <c r="D526" i="1"/>
  <c r="G526" i="1" s="1"/>
  <c r="C526" i="1"/>
  <c r="U525" i="1"/>
  <c r="T525" i="1"/>
  <c r="L525" i="1"/>
  <c r="G525" i="1"/>
  <c r="D525" i="1"/>
  <c r="C525" i="1"/>
  <c r="U524" i="1"/>
  <c r="T524" i="1"/>
  <c r="L524" i="1"/>
  <c r="D524" i="1"/>
  <c r="G524" i="1" s="1"/>
  <c r="C524" i="1"/>
  <c r="U523" i="1"/>
  <c r="T523" i="1"/>
  <c r="L523" i="1"/>
  <c r="G523" i="1"/>
  <c r="D523" i="1"/>
  <c r="C523" i="1"/>
  <c r="U522" i="1"/>
  <c r="T522" i="1"/>
  <c r="L522" i="1"/>
  <c r="D522" i="1"/>
  <c r="G522" i="1" s="1"/>
  <c r="C522" i="1"/>
  <c r="U521" i="1"/>
  <c r="T521" i="1"/>
  <c r="L521" i="1"/>
  <c r="G521" i="1"/>
  <c r="D521" i="1"/>
  <c r="C521" i="1"/>
  <c r="U520" i="1"/>
  <c r="T520" i="1"/>
  <c r="L520" i="1"/>
  <c r="D520" i="1"/>
  <c r="G520" i="1" s="1"/>
  <c r="C520" i="1"/>
  <c r="U519" i="1"/>
  <c r="T519" i="1"/>
  <c r="L519" i="1"/>
  <c r="G519" i="1"/>
  <c r="D519" i="1"/>
  <c r="C519" i="1"/>
  <c r="U518" i="1"/>
  <c r="T518" i="1"/>
  <c r="L518" i="1"/>
  <c r="D518" i="1"/>
  <c r="G518" i="1" s="1"/>
  <c r="C518" i="1"/>
  <c r="U517" i="1"/>
  <c r="T517" i="1"/>
  <c r="L517" i="1"/>
  <c r="G517" i="1"/>
  <c r="D517" i="1"/>
  <c r="C517" i="1"/>
  <c r="U516" i="1"/>
  <c r="T516" i="1"/>
  <c r="L516" i="1"/>
  <c r="D516" i="1"/>
  <c r="G516" i="1" s="1"/>
  <c r="C516" i="1"/>
  <c r="U515" i="1"/>
  <c r="T515" i="1"/>
  <c r="L515" i="1"/>
  <c r="G515" i="1"/>
  <c r="D515" i="1"/>
  <c r="C515" i="1"/>
  <c r="U514" i="1"/>
  <c r="T514" i="1"/>
  <c r="L514" i="1"/>
  <c r="D514" i="1"/>
  <c r="G514" i="1" s="1"/>
  <c r="C514" i="1"/>
  <c r="U513" i="1"/>
  <c r="T513" i="1"/>
  <c r="L513" i="1"/>
  <c r="G513" i="1"/>
  <c r="D513" i="1"/>
  <c r="C513" i="1"/>
  <c r="U512" i="1"/>
  <c r="T512" i="1"/>
  <c r="L512" i="1"/>
  <c r="D512" i="1"/>
  <c r="G512" i="1" s="1"/>
  <c r="C512" i="1"/>
  <c r="U511" i="1"/>
  <c r="T511" i="1"/>
  <c r="L511" i="1"/>
  <c r="G511" i="1"/>
  <c r="D511" i="1"/>
  <c r="C511" i="1"/>
  <c r="U510" i="1"/>
  <c r="T510" i="1"/>
  <c r="L510" i="1"/>
  <c r="D510" i="1"/>
  <c r="G510" i="1" s="1"/>
  <c r="C510" i="1"/>
  <c r="U509" i="1"/>
  <c r="T509" i="1"/>
  <c r="L509" i="1"/>
  <c r="G509" i="1"/>
  <c r="D509" i="1"/>
  <c r="C509" i="1"/>
  <c r="U508" i="1"/>
  <c r="T508" i="1"/>
  <c r="L508" i="1"/>
  <c r="D508" i="1"/>
  <c r="G508" i="1" s="1"/>
  <c r="C508" i="1"/>
  <c r="U507" i="1"/>
  <c r="T507" i="1"/>
  <c r="L507" i="1"/>
  <c r="G507" i="1"/>
  <c r="D507" i="1"/>
  <c r="C507" i="1"/>
  <c r="U506" i="1"/>
  <c r="T506" i="1"/>
  <c r="L506" i="1"/>
  <c r="D506" i="1"/>
  <c r="G506" i="1" s="1"/>
  <c r="C506" i="1"/>
  <c r="U505" i="1"/>
  <c r="T505" i="1"/>
  <c r="L505" i="1"/>
  <c r="G505" i="1"/>
  <c r="D505" i="1"/>
  <c r="C505" i="1"/>
  <c r="U504" i="1"/>
  <c r="T504" i="1"/>
  <c r="L504" i="1"/>
  <c r="D504" i="1"/>
  <c r="G504" i="1" s="1"/>
  <c r="C504" i="1"/>
  <c r="U503" i="1"/>
  <c r="T503" i="1"/>
  <c r="L503" i="1"/>
  <c r="D503" i="1"/>
  <c r="G503" i="1" s="1"/>
  <c r="C503" i="1"/>
  <c r="U502" i="1"/>
  <c r="T502" i="1"/>
  <c r="L502" i="1"/>
  <c r="D502" i="1"/>
  <c r="G502" i="1" s="1"/>
  <c r="C502" i="1"/>
  <c r="U501" i="1"/>
  <c r="T501" i="1"/>
  <c r="L501" i="1"/>
  <c r="D501" i="1"/>
  <c r="G501" i="1" s="1"/>
  <c r="C501" i="1"/>
  <c r="U500" i="1"/>
  <c r="T500" i="1"/>
  <c r="L500" i="1"/>
  <c r="D500" i="1"/>
  <c r="G500" i="1" s="1"/>
  <c r="C500" i="1"/>
  <c r="T499" i="1"/>
  <c r="U499" i="1" s="1"/>
  <c r="T498" i="1"/>
  <c r="T497" i="1"/>
  <c r="T496" i="1"/>
  <c r="U496" i="1" s="1"/>
  <c r="T495" i="1"/>
  <c r="T494" i="1"/>
  <c r="T493" i="1"/>
  <c r="T492" i="1"/>
  <c r="U492" i="1" s="1"/>
  <c r="T491" i="1"/>
  <c r="T490" i="1"/>
  <c r="T489" i="1"/>
  <c r="T488" i="1"/>
  <c r="U488" i="1" s="1"/>
  <c r="T487" i="1"/>
  <c r="T486" i="1"/>
  <c r="T485" i="1"/>
  <c r="T484" i="1"/>
  <c r="T483" i="1"/>
  <c r="T482" i="1"/>
  <c r="T481" i="1"/>
  <c r="T480" i="1"/>
  <c r="U480" i="1" s="1"/>
  <c r="T479" i="1"/>
  <c r="T478" i="1"/>
  <c r="T477" i="1"/>
  <c r="T476" i="1"/>
  <c r="U476" i="1" s="1"/>
  <c r="T475" i="1"/>
  <c r="T474" i="1"/>
  <c r="T473" i="1"/>
  <c r="T472" i="1"/>
  <c r="U472" i="1" s="1"/>
  <c r="T471" i="1"/>
  <c r="T470" i="1"/>
  <c r="T469" i="1"/>
  <c r="T468" i="1"/>
  <c r="U468" i="1" s="1"/>
  <c r="T467" i="1"/>
  <c r="U467" i="1" s="1"/>
  <c r="T466" i="1"/>
  <c r="U466" i="1" s="1"/>
  <c r="T465" i="1"/>
  <c r="T464" i="1"/>
  <c r="U464" i="1" s="1"/>
  <c r="T463" i="1"/>
  <c r="T462" i="1"/>
  <c r="U462" i="1" s="1"/>
  <c r="T461" i="1"/>
  <c r="T460" i="1"/>
  <c r="T459" i="1"/>
  <c r="T458" i="1"/>
  <c r="U458" i="1" s="1"/>
  <c r="T457" i="1"/>
  <c r="T456" i="1"/>
  <c r="T455" i="1"/>
  <c r="T454" i="1"/>
  <c r="U454" i="1" s="1"/>
  <c r="T453" i="1"/>
  <c r="T452" i="1"/>
  <c r="U452" i="1" s="1"/>
  <c r="T451" i="1"/>
  <c r="T450" i="1"/>
  <c r="U450" i="1" s="1"/>
  <c r="T449" i="1"/>
  <c r="T448" i="1"/>
  <c r="U448" i="1" s="1"/>
  <c r="T447" i="1"/>
  <c r="T446" i="1"/>
  <c r="U446" i="1" s="1"/>
  <c r="T445" i="1"/>
  <c r="T444" i="1"/>
  <c r="U444" i="1" s="1"/>
  <c r="T443" i="1"/>
  <c r="T442" i="1"/>
  <c r="T441" i="1"/>
  <c r="T440" i="1"/>
  <c r="U440" i="1" s="1"/>
  <c r="T439" i="1"/>
  <c r="T438" i="1"/>
  <c r="U438" i="1" s="1"/>
  <c r="T437" i="1"/>
  <c r="T436" i="1"/>
  <c r="U436" i="1" s="1"/>
  <c r="T435" i="1"/>
  <c r="T434" i="1"/>
  <c r="T433" i="1"/>
  <c r="U433" i="1" s="1"/>
  <c r="T432" i="1"/>
  <c r="U432" i="1" s="1"/>
  <c r="T431" i="1"/>
  <c r="U431" i="1" s="1"/>
  <c r="T430" i="1"/>
  <c r="T429" i="1"/>
  <c r="T428" i="1"/>
  <c r="U428" i="1" s="1"/>
  <c r="T427" i="1"/>
  <c r="T426" i="1"/>
  <c r="U426" i="1" s="1"/>
  <c r="T425" i="1"/>
  <c r="T424" i="1"/>
  <c r="U424" i="1" s="1"/>
  <c r="T423" i="1"/>
  <c r="T422" i="1"/>
  <c r="T421" i="1"/>
  <c r="U421" i="1" s="1"/>
  <c r="T420" i="1"/>
  <c r="U420" i="1" s="1"/>
  <c r="T419" i="1"/>
  <c r="T418" i="1"/>
  <c r="T417" i="1"/>
  <c r="T416" i="1"/>
  <c r="U416" i="1" s="1"/>
  <c r="T415" i="1"/>
  <c r="T414" i="1"/>
  <c r="T413" i="1"/>
  <c r="U413" i="1" s="1"/>
  <c r="T412" i="1"/>
  <c r="T411" i="1"/>
  <c r="T410" i="1"/>
  <c r="T409" i="1"/>
  <c r="T408" i="1"/>
  <c r="T407" i="1"/>
  <c r="T406" i="1"/>
  <c r="U406" i="1" s="1"/>
  <c r="T405" i="1"/>
  <c r="T404" i="1"/>
  <c r="T403" i="1"/>
  <c r="T402" i="1"/>
  <c r="T401" i="1"/>
  <c r="T400" i="1"/>
  <c r="T399" i="1"/>
  <c r="T398" i="1"/>
  <c r="T397" i="1"/>
  <c r="T396" i="1"/>
  <c r="U396" i="1" s="1"/>
  <c r="T395" i="1"/>
  <c r="T394" i="1"/>
  <c r="U394" i="1" s="1"/>
  <c r="T393" i="1"/>
  <c r="T392" i="1"/>
  <c r="U392" i="1" s="1"/>
  <c r="T391" i="1"/>
  <c r="T390" i="1"/>
  <c r="U390" i="1" s="1"/>
  <c r="T389" i="1"/>
  <c r="T388" i="1"/>
  <c r="U388" i="1" s="1"/>
  <c r="T387" i="1"/>
  <c r="U387" i="1" s="1"/>
  <c r="T386" i="1"/>
  <c r="U386" i="1" s="1"/>
  <c r="T385" i="1"/>
  <c r="T384" i="1"/>
  <c r="U384" i="1" s="1"/>
  <c r="T383" i="1"/>
  <c r="U383" i="1" s="1"/>
  <c r="T382" i="1"/>
  <c r="T381" i="1"/>
  <c r="T380" i="1"/>
  <c r="U380" i="1" s="1"/>
  <c r="T379" i="1"/>
  <c r="T378" i="1"/>
  <c r="T377" i="1"/>
  <c r="T376" i="1"/>
  <c r="U376" i="1" s="1"/>
  <c r="T375" i="1"/>
  <c r="T374" i="1"/>
  <c r="U374" i="1" s="1"/>
  <c r="T373" i="1"/>
  <c r="T372" i="1"/>
  <c r="U372" i="1" s="1"/>
  <c r="T371" i="1"/>
  <c r="T370" i="1"/>
  <c r="T369" i="1"/>
  <c r="U369" i="1" s="1"/>
  <c r="T368" i="1"/>
  <c r="U368" i="1" s="1"/>
  <c r="T367" i="1"/>
  <c r="T366" i="1"/>
  <c r="T365" i="1"/>
  <c r="U365" i="1" s="1"/>
  <c r="T364" i="1"/>
  <c r="U364" i="1" s="1"/>
  <c r="T363" i="1"/>
  <c r="T362" i="1"/>
  <c r="T361" i="1"/>
  <c r="T360" i="1"/>
  <c r="U360" i="1" s="1"/>
  <c r="T359" i="1"/>
  <c r="T358" i="1"/>
  <c r="T357" i="1"/>
  <c r="T356" i="1"/>
  <c r="U356" i="1" s="1"/>
  <c r="T355" i="1"/>
  <c r="T354" i="1"/>
  <c r="T353" i="1"/>
  <c r="U353" i="1" s="1"/>
  <c r="T352" i="1"/>
  <c r="U352" i="1" s="1"/>
  <c r="T351" i="1"/>
  <c r="T350" i="1"/>
  <c r="U350" i="1" s="1"/>
  <c r="T349" i="1"/>
  <c r="T348" i="1"/>
  <c r="T347" i="1"/>
  <c r="T346" i="1"/>
  <c r="U346" i="1" s="1"/>
  <c r="T345" i="1"/>
  <c r="T344" i="1"/>
  <c r="T343" i="1"/>
  <c r="T342" i="1"/>
  <c r="T341" i="1"/>
  <c r="T340" i="1"/>
  <c r="T339" i="1"/>
  <c r="T338" i="1"/>
  <c r="T337" i="1"/>
  <c r="T336" i="1"/>
  <c r="U336" i="1" s="1"/>
  <c r="T335" i="1"/>
  <c r="U335" i="1" s="1"/>
  <c r="T334" i="1"/>
  <c r="T333" i="1"/>
  <c r="T332" i="1"/>
  <c r="U332" i="1" s="1"/>
  <c r="T331" i="1"/>
  <c r="T330" i="1"/>
  <c r="T329" i="1"/>
  <c r="T328" i="1"/>
  <c r="U328" i="1" s="1"/>
  <c r="T327" i="1"/>
  <c r="T326" i="1"/>
  <c r="T325" i="1"/>
  <c r="T324" i="1"/>
  <c r="U324" i="1" s="1"/>
  <c r="T323" i="1"/>
  <c r="L499" i="1"/>
  <c r="D499" i="1"/>
  <c r="C499" i="1"/>
  <c r="G499" i="1" s="1"/>
  <c r="U498" i="1"/>
  <c r="L498" i="1"/>
  <c r="D498" i="1"/>
  <c r="C498" i="1"/>
  <c r="G498" i="1" s="1"/>
  <c r="U497" i="1"/>
  <c r="L497" i="1"/>
  <c r="D497" i="1"/>
  <c r="C497" i="1"/>
  <c r="G497" i="1" s="1"/>
  <c r="L496" i="1"/>
  <c r="D496" i="1"/>
  <c r="C496" i="1"/>
  <c r="G496" i="1" s="1"/>
  <c r="U495" i="1"/>
  <c r="L495" i="1"/>
  <c r="D495" i="1"/>
  <c r="C495" i="1"/>
  <c r="G495" i="1" s="1"/>
  <c r="U494" i="1"/>
  <c r="L494" i="1"/>
  <c r="D494" i="1"/>
  <c r="C494" i="1"/>
  <c r="G494" i="1" s="1"/>
  <c r="U493" i="1"/>
  <c r="L493" i="1"/>
  <c r="D493" i="1"/>
  <c r="C493" i="1"/>
  <c r="G493" i="1" s="1"/>
  <c r="L492" i="1"/>
  <c r="D492" i="1"/>
  <c r="C492" i="1"/>
  <c r="U491" i="1"/>
  <c r="L491" i="1"/>
  <c r="D491" i="1"/>
  <c r="C491" i="1"/>
  <c r="U490" i="1"/>
  <c r="L490" i="1"/>
  <c r="D490" i="1"/>
  <c r="C490" i="1"/>
  <c r="U489" i="1"/>
  <c r="L489" i="1"/>
  <c r="G489" i="1"/>
  <c r="D489" i="1"/>
  <c r="C489" i="1"/>
  <c r="L488" i="1"/>
  <c r="G488" i="1"/>
  <c r="D488" i="1"/>
  <c r="C488" i="1"/>
  <c r="U487" i="1"/>
  <c r="L487" i="1"/>
  <c r="D487" i="1"/>
  <c r="C487" i="1"/>
  <c r="G487" i="1" s="1"/>
  <c r="U486" i="1"/>
  <c r="L486" i="1"/>
  <c r="D486" i="1"/>
  <c r="C486" i="1"/>
  <c r="G486" i="1" s="1"/>
  <c r="U485" i="1"/>
  <c r="L485" i="1"/>
  <c r="D485" i="1"/>
  <c r="C485" i="1"/>
  <c r="G485" i="1" s="1"/>
  <c r="U484" i="1"/>
  <c r="L484" i="1"/>
  <c r="D484" i="1"/>
  <c r="C484" i="1"/>
  <c r="G484" i="1" s="1"/>
  <c r="U483" i="1"/>
  <c r="L483" i="1"/>
  <c r="D483" i="1"/>
  <c r="C483" i="1"/>
  <c r="U482" i="1"/>
  <c r="L482" i="1"/>
  <c r="D482" i="1"/>
  <c r="C482" i="1"/>
  <c r="U481" i="1"/>
  <c r="L481" i="1"/>
  <c r="G481" i="1"/>
  <c r="D481" i="1"/>
  <c r="C481" i="1"/>
  <c r="L480" i="1"/>
  <c r="G480" i="1"/>
  <c r="D480" i="1"/>
  <c r="C480" i="1"/>
  <c r="U479" i="1"/>
  <c r="L479" i="1"/>
  <c r="D479" i="1"/>
  <c r="C479" i="1"/>
  <c r="G479" i="1" s="1"/>
  <c r="U478" i="1"/>
  <c r="L478" i="1"/>
  <c r="D478" i="1"/>
  <c r="C478" i="1"/>
  <c r="G478" i="1" s="1"/>
  <c r="U477" i="1"/>
  <c r="L477" i="1"/>
  <c r="D477" i="1"/>
  <c r="C477" i="1"/>
  <c r="G477" i="1" s="1"/>
  <c r="L476" i="1"/>
  <c r="D476" i="1"/>
  <c r="C476" i="1"/>
  <c r="G476" i="1" s="1"/>
  <c r="U475" i="1"/>
  <c r="L475" i="1"/>
  <c r="D475" i="1"/>
  <c r="C475" i="1"/>
  <c r="U474" i="1"/>
  <c r="L474" i="1"/>
  <c r="D474" i="1"/>
  <c r="C474" i="1"/>
  <c r="G474" i="1" s="1"/>
  <c r="U473" i="1"/>
  <c r="L473" i="1"/>
  <c r="D473" i="1"/>
  <c r="G473" i="1" s="1"/>
  <c r="C473" i="1"/>
  <c r="L472" i="1"/>
  <c r="G472" i="1"/>
  <c r="D472" i="1"/>
  <c r="C472" i="1"/>
  <c r="U471" i="1"/>
  <c r="L471" i="1"/>
  <c r="D471" i="1"/>
  <c r="C471" i="1"/>
  <c r="G471" i="1" s="1"/>
  <c r="U470" i="1"/>
  <c r="L470" i="1"/>
  <c r="D470" i="1"/>
  <c r="C470" i="1"/>
  <c r="G470" i="1" s="1"/>
  <c r="U469" i="1"/>
  <c r="L469" i="1"/>
  <c r="D469" i="1"/>
  <c r="C469" i="1"/>
  <c r="G469" i="1" s="1"/>
  <c r="L468" i="1"/>
  <c r="D468" i="1"/>
  <c r="C468" i="1"/>
  <c r="G468" i="1" s="1"/>
  <c r="L467" i="1"/>
  <c r="D467" i="1"/>
  <c r="C467" i="1"/>
  <c r="G467" i="1" s="1"/>
  <c r="L466" i="1"/>
  <c r="D466" i="1"/>
  <c r="C466" i="1"/>
  <c r="G466" i="1" s="1"/>
  <c r="U465" i="1"/>
  <c r="L465" i="1"/>
  <c r="D465" i="1"/>
  <c r="C465" i="1"/>
  <c r="L464" i="1"/>
  <c r="D464" i="1"/>
  <c r="C464" i="1"/>
  <c r="G464" i="1" s="1"/>
  <c r="U463" i="1"/>
  <c r="L463" i="1"/>
  <c r="D463" i="1"/>
  <c r="C463" i="1"/>
  <c r="G463" i="1" s="1"/>
  <c r="L462" i="1"/>
  <c r="D462" i="1"/>
  <c r="C462" i="1"/>
  <c r="G462" i="1" s="1"/>
  <c r="U461" i="1"/>
  <c r="L461" i="1"/>
  <c r="D461" i="1"/>
  <c r="C461" i="1"/>
  <c r="G461" i="1" s="1"/>
  <c r="U460" i="1"/>
  <c r="L460" i="1"/>
  <c r="D460" i="1"/>
  <c r="C460" i="1"/>
  <c r="G460" i="1" s="1"/>
  <c r="U459" i="1"/>
  <c r="L459" i="1"/>
  <c r="D459" i="1"/>
  <c r="C459" i="1"/>
  <c r="G459" i="1" s="1"/>
  <c r="L458" i="1"/>
  <c r="D458" i="1"/>
  <c r="C458" i="1"/>
  <c r="G458" i="1" s="1"/>
  <c r="U457" i="1"/>
  <c r="L457" i="1"/>
  <c r="D457" i="1"/>
  <c r="C457" i="1"/>
  <c r="U456" i="1"/>
  <c r="L456" i="1"/>
  <c r="D456" i="1"/>
  <c r="C456" i="1"/>
  <c r="G456" i="1" s="1"/>
  <c r="U455" i="1"/>
  <c r="L455" i="1"/>
  <c r="D455" i="1"/>
  <c r="C455" i="1"/>
  <c r="L454" i="1"/>
  <c r="D454" i="1"/>
  <c r="C454" i="1"/>
  <c r="U453" i="1"/>
  <c r="L453" i="1"/>
  <c r="D453" i="1"/>
  <c r="C453" i="1"/>
  <c r="L452" i="1"/>
  <c r="D452" i="1"/>
  <c r="C452" i="1"/>
  <c r="G452" i="1" s="1"/>
  <c r="U451" i="1"/>
  <c r="L451" i="1"/>
  <c r="D451" i="1"/>
  <c r="C451" i="1"/>
  <c r="G451" i="1" s="1"/>
  <c r="L450" i="1"/>
  <c r="D450" i="1"/>
  <c r="C450" i="1"/>
  <c r="G450" i="1" s="1"/>
  <c r="U449" i="1"/>
  <c r="L449" i="1"/>
  <c r="D449" i="1"/>
  <c r="C449" i="1"/>
  <c r="L448" i="1"/>
  <c r="D448" i="1"/>
  <c r="C448" i="1"/>
  <c r="G448" i="1" s="1"/>
  <c r="U447" i="1"/>
  <c r="L447" i="1"/>
  <c r="D447" i="1"/>
  <c r="C447" i="1"/>
  <c r="G447" i="1" s="1"/>
  <c r="L446" i="1"/>
  <c r="D446" i="1"/>
  <c r="C446" i="1"/>
  <c r="G446" i="1" s="1"/>
  <c r="U445" i="1"/>
  <c r="L445" i="1"/>
  <c r="D445" i="1"/>
  <c r="C445" i="1"/>
  <c r="L444" i="1"/>
  <c r="D444" i="1"/>
  <c r="C444" i="1"/>
  <c r="G444" i="1" s="1"/>
  <c r="U443" i="1"/>
  <c r="L443" i="1"/>
  <c r="D443" i="1"/>
  <c r="C443" i="1"/>
  <c r="U442" i="1"/>
  <c r="L442" i="1"/>
  <c r="D442" i="1"/>
  <c r="C442" i="1"/>
  <c r="U441" i="1"/>
  <c r="L441" i="1"/>
  <c r="D441" i="1"/>
  <c r="C441" i="1"/>
  <c r="L440" i="1"/>
  <c r="D440" i="1"/>
  <c r="C440" i="1"/>
  <c r="G440" i="1" s="1"/>
  <c r="U439" i="1"/>
  <c r="L439" i="1"/>
  <c r="D439" i="1"/>
  <c r="C439" i="1"/>
  <c r="G439" i="1" s="1"/>
  <c r="L438" i="1"/>
  <c r="D438" i="1"/>
  <c r="C438" i="1"/>
  <c r="G438" i="1" s="1"/>
  <c r="U437" i="1"/>
  <c r="L437" i="1"/>
  <c r="D437" i="1"/>
  <c r="C437" i="1"/>
  <c r="L436" i="1"/>
  <c r="D436" i="1"/>
  <c r="G436" i="1" s="1"/>
  <c r="C436" i="1"/>
  <c r="U435" i="1"/>
  <c r="L435" i="1"/>
  <c r="D435" i="1"/>
  <c r="C435" i="1"/>
  <c r="U434" i="1"/>
  <c r="L434" i="1"/>
  <c r="D434" i="1"/>
  <c r="C434" i="1"/>
  <c r="L433" i="1"/>
  <c r="D433" i="1"/>
  <c r="C433" i="1"/>
  <c r="L432" i="1"/>
  <c r="D432" i="1"/>
  <c r="C432" i="1"/>
  <c r="G432" i="1" s="1"/>
  <c r="L431" i="1"/>
  <c r="D431" i="1"/>
  <c r="C431" i="1"/>
  <c r="G431" i="1" s="1"/>
  <c r="U430" i="1"/>
  <c r="L430" i="1"/>
  <c r="D430" i="1"/>
  <c r="C430" i="1"/>
  <c r="U429" i="1"/>
  <c r="L429" i="1"/>
  <c r="D429" i="1"/>
  <c r="C429" i="1"/>
  <c r="L428" i="1"/>
  <c r="D428" i="1"/>
  <c r="C428" i="1"/>
  <c r="G428" i="1" s="1"/>
  <c r="U427" i="1"/>
  <c r="L427" i="1"/>
  <c r="D427" i="1"/>
  <c r="C427" i="1"/>
  <c r="L426" i="1"/>
  <c r="D426" i="1"/>
  <c r="C426" i="1"/>
  <c r="U425" i="1"/>
  <c r="L425" i="1"/>
  <c r="D425" i="1"/>
  <c r="G425" i="1" s="1"/>
  <c r="C425" i="1"/>
  <c r="L424" i="1"/>
  <c r="D424" i="1"/>
  <c r="C424" i="1"/>
  <c r="G424" i="1" s="1"/>
  <c r="U423" i="1"/>
  <c r="L423" i="1"/>
  <c r="D423" i="1"/>
  <c r="C423" i="1"/>
  <c r="G423" i="1" s="1"/>
  <c r="U422" i="1"/>
  <c r="L422" i="1"/>
  <c r="D422" i="1"/>
  <c r="C422" i="1"/>
  <c r="L421" i="1"/>
  <c r="D421" i="1"/>
  <c r="C421" i="1"/>
  <c r="L420" i="1"/>
  <c r="D420" i="1"/>
  <c r="G420" i="1" s="1"/>
  <c r="C420" i="1"/>
  <c r="U419" i="1"/>
  <c r="L419" i="1"/>
  <c r="D419" i="1"/>
  <c r="C419" i="1"/>
  <c r="U418" i="1"/>
  <c r="L418" i="1"/>
  <c r="D418" i="1"/>
  <c r="C418" i="1"/>
  <c r="U417" i="1"/>
  <c r="L417" i="1"/>
  <c r="D417" i="1"/>
  <c r="G417" i="1" s="1"/>
  <c r="C417" i="1"/>
  <c r="L416" i="1"/>
  <c r="D416" i="1"/>
  <c r="C416" i="1"/>
  <c r="G416" i="1" s="1"/>
  <c r="U415" i="1"/>
  <c r="L415" i="1"/>
  <c r="D415" i="1"/>
  <c r="C415" i="1"/>
  <c r="G415" i="1" s="1"/>
  <c r="U414" i="1"/>
  <c r="L414" i="1"/>
  <c r="D414" i="1"/>
  <c r="C414" i="1"/>
  <c r="G414" i="1" s="1"/>
  <c r="L413" i="1"/>
  <c r="D413" i="1"/>
  <c r="C413" i="1"/>
  <c r="U412" i="1"/>
  <c r="L412" i="1"/>
  <c r="D412" i="1"/>
  <c r="C412" i="1"/>
  <c r="G412" i="1" s="1"/>
  <c r="U411" i="1"/>
  <c r="L411" i="1"/>
  <c r="D411" i="1"/>
  <c r="C411" i="1"/>
  <c r="U410" i="1"/>
  <c r="L410" i="1"/>
  <c r="D410" i="1"/>
  <c r="C410" i="1"/>
  <c r="U409" i="1"/>
  <c r="L409" i="1"/>
  <c r="D409" i="1"/>
  <c r="G409" i="1" s="1"/>
  <c r="C409" i="1"/>
  <c r="U408" i="1"/>
  <c r="L408" i="1"/>
  <c r="D408" i="1"/>
  <c r="C408" i="1"/>
  <c r="G408" i="1" s="1"/>
  <c r="U407" i="1"/>
  <c r="L407" i="1"/>
  <c r="D407" i="1"/>
  <c r="C407" i="1"/>
  <c r="G407" i="1" s="1"/>
  <c r="L406" i="1"/>
  <c r="D406" i="1"/>
  <c r="C406" i="1"/>
  <c r="G406" i="1" s="1"/>
  <c r="U405" i="1"/>
  <c r="L405" i="1"/>
  <c r="D405" i="1"/>
  <c r="C405" i="1"/>
  <c r="U404" i="1"/>
  <c r="L404" i="1"/>
  <c r="D404" i="1"/>
  <c r="C404" i="1"/>
  <c r="U403" i="1"/>
  <c r="L403" i="1"/>
  <c r="D403" i="1"/>
  <c r="C403" i="1"/>
  <c r="U402" i="1"/>
  <c r="L402" i="1"/>
  <c r="D402" i="1"/>
  <c r="C402" i="1"/>
  <c r="U401" i="1"/>
  <c r="L401" i="1"/>
  <c r="D401" i="1"/>
  <c r="G401" i="1" s="1"/>
  <c r="C401" i="1"/>
  <c r="U400" i="1"/>
  <c r="L400" i="1"/>
  <c r="D400" i="1"/>
  <c r="C400" i="1"/>
  <c r="G400" i="1" s="1"/>
  <c r="U399" i="1"/>
  <c r="L399" i="1"/>
  <c r="D399" i="1"/>
  <c r="C399" i="1"/>
  <c r="U398" i="1"/>
  <c r="L398" i="1"/>
  <c r="D398" i="1"/>
  <c r="C398" i="1"/>
  <c r="U397" i="1"/>
  <c r="L397" i="1"/>
  <c r="D397" i="1"/>
  <c r="C397" i="1"/>
  <c r="L396" i="1"/>
  <c r="D396" i="1"/>
  <c r="C396" i="1"/>
  <c r="U395" i="1"/>
  <c r="L395" i="1"/>
  <c r="D395" i="1"/>
  <c r="C395" i="1"/>
  <c r="L394" i="1"/>
  <c r="D394" i="1"/>
  <c r="C394" i="1"/>
  <c r="U393" i="1"/>
  <c r="L393" i="1"/>
  <c r="D393" i="1"/>
  <c r="C393" i="1"/>
  <c r="L392" i="1"/>
  <c r="D392" i="1"/>
  <c r="C392" i="1"/>
  <c r="G392" i="1" s="1"/>
  <c r="U391" i="1"/>
  <c r="L391" i="1"/>
  <c r="D391" i="1"/>
  <c r="C391" i="1"/>
  <c r="G391" i="1" s="1"/>
  <c r="L390" i="1"/>
  <c r="D390" i="1"/>
  <c r="C390" i="1"/>
  <c r="G390" i="1" s="1"/>
  <c r="U389" i="1"/>
  <c r="L389" i="1"/>
  <c r="D389" i="1"/>
  <c r="C389" i="1"/>
  <c r="L388" i="1"/>
  <c r="D388" i="1"/>
  <c r="G388" i="1" s="1"/>
  <c r="C388" i="1"/>
  <c r="L387" i="1"/>
  <c r="D387" i="1"/>
  <c r="C387" i="1"/>
  <c r="L386" i="1"/>
  <c r="D386" i="1"/>
  <c r="C386" i="1"/>
  <c r="L385" i="1"/>
  <c r="D385" i="1"/>
  <c r="G385" i="1" s="1"/>
  <c r="C385" i="1"/>
  <c r="L384" i="1"/>
  <c r="D384" i="1"/>
  <c r="C384" i="1"/>
  <c r="G384" i="1" s="1"/>
  <c r="L383" i="1"/>
  <c r="D383" i="1"/>
  <c r="C383" i="1"/>
  <c r="G383" i="1" s="1"/>
  <c r="U382" i="1"/>
  <c r="L382" i="1"/>
  <c r="D382" i="1"/>
  <c r="C382" i="1"/>
  <c r="G382" i="1" s="1"/>
  <c r="U381" i="1"/>
  <c r="L381" i="1"/>
  <c r="D381" i="1"/>
  <c r="C381" i="1"/>
  <c r="L380" i="1"/>
  <c r="D380" i="1"/>
  <c r="C380" i="1"/>
  <c r="G380" i="1" s="1"/>
  <c r="U379" i="1"/>
  <c r="L379" i="1"/>
  <c r="D379" i="1"/>
  <c r="C379" i="1"/>
  <c r="U378" i="1"/>
  <c r="L378" i="1"/>
  <c r="D378" i="1"/>
  <c r="C378" i="1"/>
  <c r="U377" i="1"/>
  <c r="L377" i="1"/>
  <c r="D377" i="1"/>
  <c r="G377" i="1" s="1"/>
  <c r="C377" i="1"/>
  <c r="L376" i="1"/>
  <c r="D376" i="1"/>
  <c r="C376" i="1"/>
  <c r="G376" i="1" s="1"/>
  <c r="U375" i="1"/>
  <c r="L375" i="1"/>
  <c r="D375" i="1"/>
  <c r="C375" i="1"/>
  <c r="G375" i="1" s="1"/>
  <c r="L374" i="1"/>
  <c r="D374" i="1"/>
  <c r="C374" i="1"/>
  <c r="G374" i="1" s="1"/>
  <c r="U373" i="1"/>
  <c r="L373" i="1"/>
  <c r="D373" i="1"/>
  <c r="C373" i="1"/>
  <c r="L372" i="1"/>
  <c r="D372" i="1"/>
  <c r="G372" i="1" s="1"/>
  <c r="C372" i="1"/>
  <c r="U371" i="1"/>
  <c r="L371" i="1"/>
  <c r="D371" i="1"/>
  <c r="C371" i="1"/>
  <c r="U370" i="1"/>
  <c r="L370" i="1"/>
  <c r="D370" i="1"/>
  <c r="C370" i="1"/>
  <c r="L369" i="1"/>
  <c r="D369" i="1"/>
  <c r="G369" i="1" s="1"/>
  <c r="C369" i="1"/>
  <c r="L368" i="1"/>
  <c r="G368" i="1"/>
  <c r="D368" i="1"/>
  <c r="C368" i="1"/>
  <c r="U367" i="1"/>
  <c r="L367" i="1"/>
  <c r="D367" i="1"/>
  <c r="C367" i="1"/>
  <c r="U366" i="1"/>
  <c r="L366" i="1"/>
  <c r="D366" i="1"/>
  <c r="C366" i="1"/>
  <c r="G366" i="1" s="1"/>
  <c r="L365" i="1"/>
  <c r="D365" i="1"/>
  <c r="C365" i="1"/>
  <c r="L364" i="1"/>
  <c r="D364" i="1"/>
  <c r="C364" i="1"/>
  <c r="U363" i="1"/>
  <c r="L363" i="1"/>
  <c r="D363" i="1"/>
  <c r="C363" i="1"/>
  <c r="U362" i="1"/>
  <c r="L362" i="1"/>
  <c r="D362" i="1"/>
  <c r="C362" i="1"/>
  <c r="U361" i="1"/>
  <c r="L361" i="1"/>
  <c r="D361" i="1"/>
  <c r="G361" i="1" s="1"/>
  <c r="C361" i="1"/>
  <c r="L360" i="1"/>
  <c r="D360" i="1"/>
  <c r="C360" i="1"/>
  <c r="U359" i="1"/>
  <c r="L359" i="1"/>
  <c r="D359" i="1"/>
  <c r="C359" i="1"/>
  <c r="U358" i="1"/>
  <c r="L358" i="1"/>
  <c r="D358" i="1"/>
  <c r="C358" i="1"/>
  <c r="G358" i="1" s="1"/>
  <c r="U357" i="1"/>
  <c r="L357" i="1"/>
  <c r="D357" i="1"/>
  <c r="C357" i="1"/>
  <c r="L356" i="1"/>
  <c r="D356" i="1"/>
  <c r="G356" i="1" s="1"/>
  <c r="C356" i="1"/>
  <c r="U355" i="1"/>
  <c r="L355" i="1"/>
  <c r="D355" i="1"/>
  <c r="C355" i="1"/>
  <c r="U354" i="1"/>
  <c r="L354" i="1"/>
  <c r="D354" i="1"/>
  <c r="C354" i="1"/>
  <c r="L353" i="1"/>
  <c r="D353" i="1"/>
  <c r="C353" i="1"/>
  <c r="L352" i="1"/>
  <c r="G352" i="1"/>
  <c r="D352" i="1"/>
  <c r="C352" i="1"/>
  <c r="U351" i="1"/>
  <c r="L351" i="1"/>
  <c r="D351" i="1"/>
  <c r="C351" i="1"/>
  <c r="L350" i="1"/>
  <c r="D350" i="1"/>
  <c r="C350" i="1"/>
  <c r="G350" i="1" s="1"/>
  <c r="U349" i="1"/>
  <c r="L349" i="1"/>
  <c r="D349" i="1"/>
  <c r="C349" i="1"/>
  <c r="U348" i="1"/>
  <c r="L348" i="1"/>
  <c r="D348" i="1"/>
  <c r="C348" i="1"/>
  <c r="G348" i="1" s="1"/>
  <c r="U347" i="1"/>
  <c r="L347" i="1"/>
  <c r="D347" i="1"/>
  <c r="C347" i="1"/>
  <c r="L346" i="1"/>
  <c r="D346" i="1"/>
  <c r="C346" i="1"/>
  <c r="U345" i="1"/>
  <c r="L345" i="1"/>
  <c r="D345" i="1"/>
  <c r="C345" i="1"/>
  <c r="U344" i="1"/>
  <c r="L344" i="1"/>
  <c r="D344" i="1"/>
  <c r="C344" i="1"/>
  <c r="G344" i="1" s="1"/>
  <c r="U343" i="1"/>
  <c r="L343" i="1"/>
  <c r="D343" i="1"/>
  <c r="C343" i="1"/>
  <c r="U342" i="1"/>
  <c r="L342" i="1"/>
  <c r="D342" i="1"/>
  <c r="C342" i="1"/>
  <c r="G342" i="1" s="1"/>
  <c r="U341" i="1"/>
  <c r="L341" i="1"/>
  <c r="D341" i="1"/>
  <c r="C341" i="1"/>
  <c r="U340" i="1"/>
  <c r="L340" i="1"/>
  <c r="D340" i="1"/>
  <c r="C340" i="1"/>
  <c r="U339" i="1"/>
  <c r="L339" i="1"/>
  <c r="D339" i="1"/>
  <c r="C339" i="1"/>
  <c r="U338" i="1"/>
  <c r="L338" i="1"/>
  <c r="D338" i="1"/>
  <c r="C338" i="1"/>
  <c r="U337" i="1"/>
  <c r="L337" i="1"/>
  <c r="D337" i="1"/>
  <c r="C337" i="1"/>
  <c r="L336" i="1"/>
  <c r="D336" i="1"/>
  <c r="C336" i="1"/>
  <c r="G336" i="1" s="1"/>
  <c r="L335" i="1"/>
  <c r="D335" i="1"/>
  <c r="C335" i="1"/>
  <c r="G335" i="1" s="1"/>
  <c r="U334" i="1"/>
  <c r="L334" i="1"/>
  <c r="D334" i="1"/>
  <c r="C334" i="1"/>
  <c r="G334" i="1" s="1"/>
  <c r="U333" i="1"/>
  <c r="L333" i="1"/>
  <c r="D333" i="1"/>
  <c r="C333" i="1"/>
  <c r="L332" i="1"/>
  <c r="D332" i="1"/>
  <c r="C332" i="1"/>
  <c r="G332" i="1" s="1"/>
  <c r="U331" i="1"/>
  <c r="L331" i="1"/>
  <c r="D331" i="1"/>
  <c r="C331" i="1"/>
  <c r="U330" i="1"/>
  <c r="L330" i="1"/>
  <c r="D330" i="1"/>
  <c r="C330" i="1"/>
  <c r="U329" i="1"/>
  <c r="L329" i="1"/>
  <c r="D329" i="1"/>
  <c r="C329" i="1"/>
  <c r="L328" i="1"/>
  <c r="D328" i="1"/>
  <c r="C328" i="1"/>
  <c r="G328" i="1" s="1"/>
  <c r="U327" i="1"/>
  <c r="L327" i="1"/>
  <c r="D327" i="1"/>
  <c r="C327" i="1"/>
  <c r="U326" i="1"/>
  <c r="L326" i="1"/>
  <c r="D326" i="1"/>
  <c r="C326" i="1"/>
  <c r="G326" i="1" s="1"/>
  <c r="U325" i="1"/>
  <c r="L325" i="1"/>
  <c r="D325" i="1"/>
  <c r="C325" i="1"/>
  <c r="L324" i="1"/>
  <c r="D324" i="1"/>
  <c r="G324" i="1" s="1"/>
  <c r="C324" i="1"/>
  <c r="U323" i="1"/>
  <c r="L323" i="1"/>
  <c r="D323" i="1"/>
  <c r="C323" i="1"/>
  <c r="G465" i="1" l="1"/>
  <c r="G457" i="1"/>
  <c r="G455" i="1"/>
  <c r="G454" i="1"/>
  <c r="G453" i="1"/>
  <c r="G449" i="1"/>
  <c r="G441" i="1"/>
  <c r="G433" i="1"/>
  <c r="G430" i="1"/>
  <c r="G422" i="1"/>
  <c r="G404" i="1"/>
  <c r="G399" i="1"/>
  <c r="G398" i="1"/>
  <c r="G396" i="1"/>
  <c r="G393" i="1"/>
  <c r="U385" i="1"/>
  <c r="G367" i="1"/>
  <c r="G360" i="1"/>
  <c r="G359" i="1"/>
  <c r="G353" i="1"/>
  <c r="G351" i="1"/>
  <c r="G345" i="1"/>
  <c r="G343" i="1"/>
  <c r="G340" i="1"/>
  <c r="G337" i="1"/>
  <c r="G329" i="1"/>
  <c r="G327" i="1"/>
  <c r="G323" i="1"/>
  <c r="G333" i="1"/>
  <c r="G338" i="1"/>
  <c r="G339" i="1"/>
  <c r="G349" i="1"/>
  <c r="G354" i="1"/>
  <c r="G355" i="1"/>
  <c r="G365" i="1"/>
  <c r="G370" i="1"/>
  <c r="G371" i="1"/>
  <c r="G381" i="1"/>
  <c r="G386" i="1"/>
  <c r="G387" i="1"/>
  <c r="G397" i="1"/>
  <c r="G402" i="1"/>
  <c r="G403" i="1"/>
  <c r="G413" i="1"/>
  <c r="G418" i="1"/>
  <c r="G419" i="1"/>
  <c r="G434" i="1"/>
  <c r="G435" i="1"/>
  <c r="G445" i="1"/>
  <c r="G475" i="1"/>
  <c r="G482" i="1"/>
  <c r="G483" i="1"/>
  <c r="G490" i="1"/>
  <c r="G491" i="1"/>
  <c r="G492" i="1"/>
  <c r="G325" i="1"/>
  <c r="G330" i="1"/>
  <c r="G331" i="1"/>
  <c r="G341" i="1"/>
  <c r="G346" i="1"/>
  <c r="G347" i="1"/>
  <c r="G357" i="1"/>
  <c r="G362" i="1"/>
  <c r="G363" i="1"/>
  <c r="G373" i="1"/>
  <c r="G378" i="1"/>
  <c r="G379" i="1"/>
  <c r="G389" i="1"/>
  <c r="G394" i="1"/>
  <c r="G395" i="1"/>
  <c r="G405" i="1"/>
  <c r="G410" i="1"/>
  <c r="G411" i="1"/>
  <c r="G421" i="1"/>
  <c r="G426" i="1"/>
  <c r="G427" i="1"/>
  <c r="G437" i="1"/>
  <c r="G442" i="1"/>
  <c r="G443" i="1"/>
  <c r="M275" i="1" l="1"/>
  <c r="M228" i="1"/>
  <c r="M318" i="1"/>
  <c r="M215" i="1"/>
  <c r="M246" i="1"/>
  <c r="M271" i="1"/>
  <c r="M258" i="1"/>
  <c r="M201" i="1"/>
  <c r="M187" i="1"/>
  <c r="M186" i="1"/>
  <c r="M180" i="1"/>
  <c r="M157" i="1"/>
  <c r="M179" i="1"/>
  <c r="M165" i="1"/>
  <c r="M148" i="1"/>
  <c r="M156" i="1"/>
  <c r="M150" i="1"/>
  <c r="M149" i="1"/>
  <c r="M152" i="1"/>
  <c r="M151" i="1"/>
  <c r="M155" i="1"/>
  <c r="M161" i="1"/>
  <c r="M160" i="1"/>
  <c r="M162" i="1"/>
  <c r="M174" i="1"/>
  <c r="M136" i="1"/>
  <c r="M140" i="1"/>
  <c r="M139" i="1"/>
  <c r="M142" i="1"/>
  <c r="M146" i="1"/>
  <c r="M154" i="1"/>
  <c r="M159" i="1"/>
  <c r="M135" i="1"/>
  <c r="M164" i="1"/>
  <c r="M134" i="1"/>
  <c r="M194" i="1"/>
  <c r="M199" i="1"/>
  <c r="M169" i="1"/>
  <c r="L218" i="1"/>
  <c r="L263" i="1"/>
  <c r="L262" i="1"/>
  <c r="L261" i="1"/>
  <c r="L235" i="1"/>
  <c r="L298" i="1"/>
  <c r="L290" i="1"/>
  <c r="L307" i="1"/>
  <c r="L141" i="1"/>
  <c r="L293" i="1"/>
  <c r="L289" i="1"/>
  <c r="L207" i="1"/>
  <c r="L280" i="1"/>
  <c r="L220" i="1"/>
  <c r="L301" i="1"/>
  <c r="L288" i="1"/>
  <c r="L287" i="1"/>
  <c r="L297" i="1"/>
  <c r="L296" i="1"/>
  <c r="L273" i="1"/>
  <c r="L250" i="1"/>
  <c r="L286" i="1"/>
  <c r="L282" i="1"/>
  <c r="L276" i="1"/>
  <c r="L249" i="1"/>
  <c r="L197" i="1"/>
  <c r="L217" i="1"/>
  <c r="L279" i="1"/>
  <c r="L260" i="1"/>
  <c r="L175" i="1"/>
  <c r="L206" i="1"/>
  <c r="L205" i="1"/>
  <c r="L216" i="1"/>
  <c r="L272" i="1"/>
  <c r="L241" i="1"/>
  <c r="L240" i="1"/>
  <c r="L204" i="1"/>
  <c r="L219" i="1"/>
  <c r="L239" i="1"/>
  <c r="L229" i="1"/>
  <c r="L248" i="1"/>
  <c r="L203" i="1"/>
  <c r="L191" i="1"/>
  <c r="L292" i="1"/>
  <c r="L304" i="1"/>
  <c r="L322" i="1"/>
  <c r="L278" i="1"/>
  <c r="L321" i="1"/>
  <c r="L196" i="1"/>
  <c r="L190" i="1"/>
  <c r="L309" i="1"/>
  <c r="L315" i="1"/>
  <c r="L313" i="1"/>
  <c r="L314" i="1"/>
  <c r="L275" i="1"/>
  <c r="L228" i="1"/>
  <c r="L312" i="1"/>
  <c r="L320" i="1"/>
  <c r="L318" i="1"/>
  <c r="L319" i="1"/>
  <c r="L311" i="1"/>
  <c r="L285" i="1"/>
  <c r="L281" i="1"/>
  <c r="L274" i="1"/>
  <c r="L277" i="1"/>
  <c r="L215" i="1"/>
  <c r="L247" i="1"/>
  <c r="L259" i="1"/>
  <c r="L246" i="1"/>
  <c r="L271" i="1"/>
  <c r="L258" i="1"/>
  <c r="L195" i="1"/>
  <c r="L202" i="1"/>
  <c r="L201" i="1"/>
  <c r="L227" i="1"/>
  <c r="L238" i="1"/>
  <c r="L226" i="1"/>
  <c r="L200" i="1"/>
  <c r="L187" i="1"/>
  <c r="L145" i="1"/>
  <c r="L144" i="1"/>
  <c r="L186" i="1"/>
  <c r="L180" i="1"/>
  <c r="L157" i="1"/>
  <c r="L179" i="1"/>
  <c r="L165" i="1"/>
  <c r="L148" i="1"/>
  <c r="L156" i="1"/>
  <c r="L150" i="1"/>
  <c r="L149" i="1"/>
  <c r="L152" i="1"/>
  <c r="L151" i="1"/>
  <c r="L155" i="1"/>
  <c r="L161" i="1"/>
  <c r="L160" i="1"/>
  <c r="L162" i="1"/>
  <c r="L174" i="1"/>
  <c r="L136" i="1"/>
  <c r="L138" i="1"/>
  <c r="L137" i="1"/>
  <c r="L140" i="1"/>
  <c r="L139" i="1"/>
  <c r="L143" i="1"/>
  <c r="L142" i="1"/>
  <c r="L147" i="1"/>
  <c r="L146" i="1"/>
  <c r="L154" i="1"/>
  <c r="L159" i="1"/>
  <c r="L135" i="1"/>
  <c r="L164" i="1"/>
  <c r="L134" i="1"/>
  <c r="L194" i="1"/>
  <c r="L199" i="1"/>
  <c r="L169" i="1"/>
  <c r="M131" i="1"/>
  <c r="M133" i="1"/>
  <c r="M153" i="1"/>
  <c r="M178" i="1"/>
  <c r="M158" i="1"/>
  <c r="M166" i="1"/>
  <c r="M168" i="1"/>
  <c r="M167" i="1"/>
  <c r="M172" i="1"/>
  <c r="M171" i="1"/>
  <c r="M163" i="1"/>
  <c r="M214" i="1"/>
  <c r="M225" i="1"/>
  <c r="M132" i="1"/>
  <c r="M234" i="1"/>
  <c r="M257" i="1"/>
  <c r="M256" i="1"/>
  <c r="M255" i="1"/>
  <c r="M177" i="1"/>
  <c r="M185" i="1"/>
  <c r="M170" i="1"/>
  <c r="M182" i="1"/>
  <c r="M176" i="1"/>
  <c r="M284" i="1"/>
  <c r="M270" i="1"/>
  <c r="M198" i="1"/>
  <c r="M224" i="1"/>
  <c r="M189" i="1"/>
  <c r="M181" i="1"/>
  <c r="M184" i="1"/>
  <c r="M183" i="1"/>
  <c r="M213" i="1"/>
  <c r="M212" i="1"/>
  <c r="M211" i="1"/>
  <c r="M210" i="1"/>
  <c r="M209" i="1"/>
  <c r="M254" i="1"/>
  <c r="M267" i="1"/>
  <c r="M253" i="1"/>
  <c r="M252" i="1"/>
  <c r="M302" i="1"/>
  <c r="M266" i="1"/>
  <c r="M265" i="1"/>
  <c r="M264" i="1"/>
  <c r="M269" i="1"/>
  <c r="M245" i="1"/>
  <c r="M244" i="1"/>
  <c r="M243" i="1"/>
  <c r="M242" i="1"/>
  <c r="M233" i="1"/>
  <c r="M232" i="1"/>
  <c r="M231" i="1"/>
  <c r="M192" i="1"/>
  <c r="M237" i="1"/>
  <c r="M236" i="1"/>
  <c r="M223" i="1"/>
  <c r="M222" i="1"/>
  <c r="M221" i="1"/>
  <c r="M291" i="1"/>
  <c r="M300" i="1"/>
  <c r="M295" i="1"/>
  <c r="M310" i="1"/>
  <c r="M306" i="1"/>
  <c r="M305" i="1"/>
  <c r="M294" i="1"/>
  <c r="M308" i="1"/>
  <c r="M317" i="1"/>
  <c r="M299" i="1"/>
  <c r="M316" i="1"/>
  <c r="M188" i="1"/>
  <c r="M208" i="1"/>
  <c r="M230" i="1"/>
  <c r="M251" i="1"/>
  <c r="X218" i="1"/>
  <c r="D218" i="1"/>
  <c r="C218" i="1"/>
  <c r="D263" i="1"/>
  <c r="C263" i="1"/>
  <c r="X262" i="1"/>
  <c r="D262" i="1"/>
  <c r="C262" i="1"/>
  <c r="X261" i="1"/>
  <c r="D261" i="1"/>
  <c r="C261" i="1"/>
  <c r="X235" i="1"/>
  <c r="D235" i="1"/>
  <c r="C235" i="1"/>
  <c r="D298" i="1"/>
  <c r="C298" i="1"/>
  <c r="X290" i="1"/>
  <c r="D290" i="1"/>
  <c r="C290" i="1"/>
  <c r="X307" i="1"/>
  <c r="D307" i="1"/>
  <c r="C307" i="1"/>
  <c r="X141" i="1"/>
  <c r="D141" i="1"/>
  <c r="C141" i="1"/>
  <c r="X293" i="1"/>
  <c r="D293" i="1"/>
  <c r="C293" i="1"/>
  <c r="D289" i="1"/>
  <c r="C289" i="1"/>
  <c r="X207" i="1"/>
  <c r="D207" i="1"/>
  <c r="C207" i="1"/>
  <c r="X280" i="1"/>
  <c r="D280" i="1"/>
  <c r="C280" i="1"/>
  <c r="X220" i="1"/>
  <c r="D220" i="1"/>
  <c r="C220" i="1"/>
  <c r="D301" i="1"/>
  <c r="C301" i="1"/>
  <c r="U288" i="1"/>
  <c r="D288" i="1"/>
  <c r="C288" i="1"/>
  <c r="X287" i="1"/>
  <c r="D287" i="1"/>
  <c r="C287" i="1"/>
  <c r="X297" i="1"/>
  <c r="D297" i="1"/>
  <c r="C297" i="1"/>
  <c r="D296" i="1"/>
  <c r="C296" i="1"/>
  <c r="X273" i="1"/>
  <c r="D273" i="1"/>
  <c r="C273" i="1"/>
  <c r="X250" i="1"/>
  <c r="D250" i="1"/>
  <c r="C250" i="1"/>
  <c r="X286" i="1"/>
  <c r="D286" i="1"/>
  <c r="C286" i="1"/>
  <c r="D282" i="1"/>
  <c r="C282" i="1"/>
  <c r="X276" i="1"/>
  <c r="D276" i="1"/>
  <c r="C276" i="1"/>
  <c r="X249" i="1"/>
  <c r="D249" i="1"/>
  <c r="C249" i="1"/>
  <c r="X197" i="1"/>
  <c r="D197" i="1"/>
  <c r="C197" i="1"/>
  <c r="D217" i="1"/>
  <c r="C217" i="1"/>
  <c r="X279" i="1"/>
  <c r="D279" i="1"/>
  <c r="C279" i="1"/>
  <c r="X260" i="1"/>
  <c r="D260" i="1"/>
  <c r="C260" i="1"/>
  <c r="X175" i="1"/>
  <c r="D175" i="1"/>
  <c r="C175" i="1"/>
  <c r="D206" i="1"/>
  <c r="C206" i="1"/>
  <c r="X205" i="1"/>
  <c r="D205" i="1"/>
  <c r="C205" i="1"/>
  <c r="X216" i="1"/>
  <c r="D216" i="1"/>
  <c r="C216" i="1"/>
  <c r="X272" i="1"/>
  <c r="D272" i="1"/>
  <c r="C272" i="1"/>
  <c r="D241" i="1"/>
  <c r="C241" i="1"/>
  <c r="X240" i="1"/>
  <c r="D240" i="1"/>
  <c r="C240" i="1"/>
  <c r="X204" i="1"/>
  <c r="D204" i="1"/>
  <c r="C204" i="1"/>
  <c r="X219" i="1"/>
  <c r="D219" i="1"/>
  <c r="C219" i="1"/>
  <c r="D239" i="1"/>
  <c r="C239" i="1"/>
  <c r="X229" i="1"/>
  <c r="D229" i="1"/>
  <c r="C229" i="1"/>
  <c r="U248" i="1"/>
  <c r="D248" i="1"/>
  <c r="C248" i="1"/>
  <c r="X203" i="1"/>
  <c r="D203" i="1"/>
  <c r="C203" i="1"/>
  <c r="X191" i="1"/>
  <c r="D191" i="1"/>
  <c r="C191" i="1"/>
  <c r="U292" i="1"/>
  <c r="D292" i="1"/>
  <c r="C292" i="1"/>
  <c r="X304" i="1"/>
  <c r="D304" i="1"/>
  <c r="C304" i="1"/>
  <c r="U322" i="1"/>
  <c r="D322" i="1"/>
  <c r="C322" i="1"/>
  <c r="X278" i="1"/>
  <c r="D278" i="1"/>
  <c r="C278" i="1"/>
  <c r="U321" i="1"/>
  <c r="D321" i="1"/>
  <c r="C321" i="1"/>
  <c r="X196" i="1"/>
  <c r="D196" i="1"/>
  <c r="C196" i="1"/>
  <c r="U190" i="1"/>
  <c r="D190" i="1"/>
  <c r="C190" i="1"/>
  <c r="U309" i="1"/>
  <c r="D309" i="1"/>
  <c r="C309" i="1"/>
  <c r="U315" i="1"/>
  <c r="D315" i="1"/>
  <c r="C315" i="1"/>
  <c r="X313" i="1"/>
  <c r="D313" i="1"/>
  <c r="C313" i="1"/>
  <c r="U314" i="1"/>
  <c r="D314" i="1"/>
  <c r="C314" i="1"/>
  <c r="U275" i="1"/>
  <c r="D275" i="1"/>
  <c r="C275" i="1"/>
  <c r="U228" i="1"/>
  <c r="D228" i="1"/>
  <c r="C228" i="1"/>
  <c r="X312" i="1"/>
  <c r="D312" i="1"/>
  <c r="C312" i="1"/>
  <c r="U320" i="1"/>
  <c r="D320" i="1"/>
  <c r="C320" i="1"/>
  <c r="U318" i="1"/>
  <c r="D318" i="1"/>
  <c r="C318" i="1"/>
  <c r="U319" i="1"/>
  <c r="D319" i="1"/>
  <c r="C319" i="1"/>
  <c r="X311" i="1"/>
  <c r="D311" i="1"/>
  <c r="C311" i="1"/>
  <c r="U285" i="1"/>
  <c r="D285" i="1"/>
  <c r="C285" i="1"/>
  <c r="X281" i="1"/>
  <c r="D281" i="1"/>
  <c r="C281" i="1"/>
  <c r="U274" i="1"/>
  <c r="D274" i="1"/>
  <c r="C274" i="1"/>
  <c r="X277" i="1"/>
  <c r="D277" i="1"/>
  <c r="C277" i="1"/>
  <c r="U215" i="1"/>
  <c r="D215" i="1"/>
  <c r="C215" i="1"/>
  <c r="X247" i="1"/>
  <c r="D247" i="1"/>
  <c r="C247" i="1"/>
  <c r="X259" i="1"/>
  <c r="D259" i="1"/>
  <c r="C259" i="1"/>
  <c r="X246" i="1"/>
  <c r="D246" i="1"/>
  <c r="C246" i="1"/>
  <c r="D271" i="1"/>
  <c r="C271" i="1"/>
  <c r="X258" i="1"/>
  <c r="D258" i="1"/>
  <c r="C258" i="1"/>
  <c r="X195" i="1"/>
  <c r="D195" i="1"/>
  <c r="C195" i="1"/>
  <c r="X202" i="1"/>
  <c r="D202" i="1"/>
  <c r="C202" i="1"/>
  <c r="U201" i="1"/>
  <c r="D201" i="1"/>
  <c r="C201" i="1"/>
  <c r="X227" i="1"/>
  <c r="D227" i="1"/>
  <c r="C227" i="1"/>
  <c r="U238" i="1"/>
  <c r="D238" i="1"/>
  <c r="C238" i="1"/>
  <c r="X226" i="1"/>
  <c r="D226" i="1"/>
  <c r="C226" i="1"/>
  <c r="U200" i="1"/>
  <c r="D200" i="1"/>
  <c r="C200" i="1"/>
  <c r="X187" i="1"/>
  <c r="D187" i="1"/>
  <c r="C187" i="1"/>
  <c r="U145" i="1"/>
  <c r="D145" i="1"/>
  <c r="C145" i="1"/>
  <c r="X144" i="1"/>
  <c r="D144" i="1"/>
  <c r="C144" i="1"/>
  <c r="U186" i="1"/>
  <c r="D186" i="1"/>
  <c r="C186" i="1"/>
  <c r="G271" i="1" l="1"/>
  <c r="G250" i="1"/>
  <c r="G280" i="1"/>
  <c r="G141" i="1"/>
  <c r="G218" i="1"/>
  <c r="G215" i="1"/>
  <c r="G187" i="1"/>
  <c r="G319" i="1"/>
  <c r="U216" i="1"/>
  <c r="G320" i="1"/>
  <c r="G314" i="1"/>
  <c r="G322" i="1"/>
  <c r="G203" i="1"/>
  <c r="X318" i="1"/>
  <c r="G216" i="1"/>
  <c r="G205" i="1"/>
  <c r="G279" i="1"/>
  <c r="G273" i="1"/>
  <c r="G207" i="1"/>
  <c r="G307" i="1"/>
  <c r="G285" i="1"/>
  <c r="G240" i="1"/>
  <c r="G298" i="1"/>
  <c r="G247" i="1"/>
  <c r="G318" i="1"/>
  <c r="G190" i="1"/>
  <c r="U191" i="1"/>
  <c r="U229" i="1"/>
  <c r="G261" i="1"/>
  <c r="G186" i="1"/>
  <c r="G201" i="1"/>
  <c r="G239" i="1"/>
  <c r="U240" i="1"/>
  <c r="G288" i="1"/>
  <c r="U261" i="1"/>
  <c r="U235" i="1"/>
  <c r="G290" i="1"/>
  <c r="U307" i="1"/>
  <c r="U141" i="1"/>
  <c r="U280" i="1"/>
  <c r="X288" i="1"/>
  <c r="U287" i="1"/>
  <c r="G287" i="1"/>
  <c r="U250" i="1"/>
  <c r="U276" i="1"/>
  <c r="G276" i="1"/>
  <c r="G249" i="1"/>
  <c r="U279" i="1"/>
  <c r="U260" i="1"/>
  <c r="U175" i="1"/>
  <c r="U204" i="1"/>
  <c r="G229" i="1"/>
  <c r="G191" i="1"/>
  <c r="X322" i="1"/>
  <c r="U278" i="1"/>
  <c r="G278" i="1"/>
  <c r="X309" i="1"/>
  <c r="G309" i="1"/>
  <c r="X275" i="1"/>
  <c r="G275" i="1"/>
  <c r="U281" i="1"/>
  <c r="G281" i="1"/>
  <c r="U247" i="1"/>
  <c r="U271" i="1"/>
  <c r="U258" i="1"/>
  <c r="G258" i="1"/>
  <c r="U227" i="1"/>
  <c r="G227" i="1"/>
  <c r="G200" i="1"/>
  <c r="U187" i="1"/>
  <c r="G204" i="1"/>
  <c r="G241" i="1"/>
  <c r="G272" i="1"/>
  <c r="U205" i="1"/>
  <c r="G260" i="1"/>
  <c r="G217" i="1"/>
  <c r="U249" i="1"/>
  <c r="U273" i="1"/>
  <c r="G301" i="1"/>
  <c r="G220" i="1"/>
  <c r="U220" i="1"/>
  <c r="U207" i="1"/>
  <c r="G235" i="1"/>
  <c r="G262" i="1"/>
  <c r="G263" i="1"/>
  <c r="U218" i="1"/>
  <c r="X186" i="1"/>
  <c r="X200" i="1"/>
  <c r="X201" i="1"/>
  <c r="X271" i="1"/>
  <c r="X215" i="1"/>
  <c r="X285" i="1"/>
  <c r="X320" i="1"/>
  <c r="X314" i="1"/>
  <c r="X190" i="1"/>
  <c r="G248" i="1"/>
  <c r="G282" i="1"/>
  <c r="G144" i="1"/>
  <c r="G145" i="1"/>
  <c r="G226" i="1"/>
  <c r="G238" i="1"/>
  <c r="G202" i="1"/>
  <c r="G195" i="1"/>
  <c r="G246" i="1"/>
  <c r="G259" i="1"/>
  <c r="G277" i="1"/>
  <c r="G274" i="1"/>
  <c r="G311" i="1"/>
  <c r="G312" i="1"/>
  <c r="G228" i="1"/>
  <c r="G313" i="1"/>
  <c r="G315" i="1"/>
  <c r="G196" i="1"/>
  <c r="G321" i="1"/>
  <c r="G304" i="1"/>
  <c r="G292" i="1"/>
  <c r="G206" i="1"/>
  <c r="G175" i="1"/>
  <c r="G296" i="1"/>
  <c r="G297" i="1"/>
  <c r="G289" i="1"/>
  <c r="U195" i="1"/>
  <c r="U259" i="1"/>
  <c r="U144" i="1"/>
  <c r="X145" i="1"/>
  <c r="U226" i="1"/>
  <c r="X238" i="1"/>
  <c r="U202" i="1"/>
  <c r="U246" i="1"/>
  <c r="U277" i="1"/>
  <c r="X274" i="1"/>
  <c r="U311" i="1"/>
  <c r="X319" i="1"/>
  <c r="U312" i="1"/>
  <c r="X228" i="1"/>
  <c r="U313" i="1"/>
  <c r="X315" i="1"/>
  <c r="U196" i="1"/>
  <c r="X321" i="1"/>
  <c r="U304" i="1"/>
  <c r="X292" i="1"/>
  <c r="X248" i="1"/>
  <c r="G219" i="1"/>
  <c r="U219" i="1"/>
  <c r="X217" i="1"/>
  <c r="U217" i="1"/>
  <c r="G286" i="1"/>
  <c r="U286" i="1"/>
  <c r="X289" i="1"/>
  <c r="U289" i="1"/>
  <c r="U263" i="1"/>
  <c r="X263" i="1"/>
  <c r="U203" i="1"/>
  <c r="X206" i="1"/>
  <c r="U206" i="1"/>
  <c r="G197" i="1"/>
  <c r="U197" i="1"/>
  <c r="X301" i="1"/>
  <c r="U301" i="1"/>
  <c r="G293" i="1"/>
  <c r="U293" i="1"/>
  <c r="X241" i="1"/>
  <c r="U241" i="1"/>
  <c r="X296" i="1"/>
  <c r="U296" i="1"/>
  <c r="X239" i="1"/>
  <c r="U239" i="1"/>
  <c r="U272" i="1"/>
  <c r="X282" i="1"/>
  <c r="U282" i="1"/>
  <c r="U297" i="1"/>
  <c r="U298" i="1"/>
  <c r="X298" i="1"/>
  <c r="U290" i="1"/>
  <c r="U262" i="1"/>
  <c r="L131" i="1" l="1"/>
  <c r="L133" i="1"/>
  <c r="L153" i="1"/>
  <c r="L178" i="1"/>
  <c r="L193" i="1"/>
  <c r="L158" i="1"/>
  <c r="L166" i="1"/>
  <c r="L168" i="1"/>
  <c r="L167" i="1"/>
  <c r="L173" i="1"/>
  <c r="L172" i="1"/>
  <c r="L171" i="1"/>
  <c r="L163" i="1"/>
  <c r="L214" i="1"/>
  <c r="L225" i="1"/>
  <c r="L132" i="1"/>
  <c r="L234" i="1"/>
  <c r="L257" i="1"/>
  <c r="L256" i="1"/>
  <c r="L255" i="1"/>
  <c r="L177" i="1"/>
  <c r="L185" i="1"/>
  <c r="L170" i="1"/>
  <c r="L182" i="1"/>
  <c r="L176" i="1"/>
  <c r="L284" i="1"/>
  <c r="L270" i="1"/>
  <c r="L198" i="1"/>
  <c r="L224" i="1"/>
  <c r="L189" i="1"/>
  <c r="L181" i="1"/>
  <c r="L184" i="1"/>
  <c r="L183" i="1"/>
  <c r="L213" i="1"/>
  <c r="L212" i="1"/>
  <c r="L211" i="1"/>
  <c r="L210" i="1"/>
  <c r="L209" i="1"/>
  <c r="L254" i="1"/>
  <c r="L267" i="1"/>
  <c r="L253" i="1"/>
  <c r="L252" i="1"/>
  <c r="L302" i="1"/>
  <c r="L266" i="1"/>
  <c r="L265" i="1"/>
  <c r="L264" i="1"/>
  <c r="L269" i="1"/>
  <c r="L245" i="1"/>
  <c r="L244" i="1"/>
  <c r="L243" i="1"/>
  <c r="L242" i="1"/>
  <c r="L233" i="1"/>
  <c r="L232" i="1"/>
  <c r="L231" i="1"/>
  <c r="L192" i="1"/>
  <c r="L237" i="1"/>
  <c r="L236" i="1"/>
  <c r="L223" i="1"/>
  <c r="L222" i="1"/>
  <c r="L221" i="1"/>
  <c r="L291" i="1"/>
  <c r="L300" i="1"/>
  <c r="L295" i="1"/>
  <c r="L310" i="1"/>
  <c r="L306" i="1"/>
  <c r="L305" i="1"/>
  <c r="L303" i="1"/>
  <c r="L294" i="1"/>
  <c r="L283" i="1"/>
  <c r="L308" i="1"/>
  <c r="L317" i="1"/>
  <c r="L299" i="1"/>
  <c r="L316" i="1"/>
  <c r="L188" i="1"/>
  <c r="L208" i="1"/>
  <c r="L230" i="1"/>
  <c r="L268" i="1"/>
  <c r="L251" i="1"/>
  <c r="U180" i="1"/>
  <c r="U157" i="1"/>
  <c r="X179" i="1"/>
  <c r="X165" i="1"/>
  <c r="U148" i="1"/>
  <c r="U156" i="1"/>
  <c r="U150" i="1"/>
  <c r="X149" i="1"/>
  <c r="U152" i="1"/>
  <c r="U151" i="1"/>
  <c r="U155" i="1"/>
  <c r="X161" i="1"/>
  <c r="U160" i="1"/>
  <c r="U162" i="1"/>
  <c r="X174" i="1"/>
  <c r="X136" i="1"/>
  <c r="U138" i="1"/>
  <c r="U137" i="1"/>
  <c r="U140" i="1"/>
  <c r="X139" i="1"/>
  <c r="U143" i="1"/>
  <c r="U142" i="1"/>
  <c r="X147" i="1"/>
  <c r="X146" i="1"/>
  <c r="U154" i="1"/>
  <c r="U159" i="1"/>
  <c r="X135" i="1"/>
  <c r="X164" i="1"/>
  <c r="U134" i="1"/>
  <c r="U194" i="1"/>
  <c r="X199" i="1"/>
  <c r="X169" i="1"/>
  <c r="U131" i="1"/>
  <c r="U133" i="1"/>
  <c r="X153" i="1"/>
  <c r="X178" i="1"/>
  <c r="U193" i="1"/>
  <c r="U158" i="1"/>
  <c r="X166" i="1"/>
  <c r="X168" i="1"/>
  <c r="U167" i="1"/>
  <c r="U173" i="1"/>
  <c r="X172" i="1"/>
  <c r="X171" i="1"/>
  <c r="U163" i="1"/>
  <c r="U214" i="1"/>
  <c r="X225" i="1"/>
  <c r="X132" i="1"/>
  <c r="X234" i="1"/>
  <c r="U257" i="1"/>
  <c r="U256" i="1"/>
  <c r="X255" i="1"/>
  <c r="X177" i="1"/>
  <c r="U185" i="1"/>
  <c r="X170" i="1"/>
  <c r="X182" i="1"/>
  <c r="X176" i="1"/>
  <c r="U284" i="1"/>
  <c r="X270" i="1"/>
  <c r="U198" i="1"/>
  <c r="X224" i="1"/>
  <c r="U189" i="1"/>
  <c r="X181" i="1"/>
  <c r="X184" i="1"/>
  <c r="X183" i="1"/>
  <c r="U213" i="1"/>
  <c r="X212" i="1"/>
  <c r="X211" i="1"/>
  <c r="X210" i="1"/>
  <c r="U209" i="1"/>
  <c r="X254" i="1"/>
  <c r="X267" i="1"/>
  <c r="X253" i="1"/>
  <c r="U252" i="1"/>
  <c r="X302" i="1"/>
  <c r="U266" i="1"/>
  <c r="X265" i="1"/>
  <c r="U264" i="1"/>
  <c r="X269" i="1"/>
  <c r="X245" i="1"/>
  <c r="X244" i="1"/>
  <c r="U243" i="1"/>
  <c r="X242" i="1"/>
  <c r="X233" i="1"/>
  <c r="X232" i="1"/>
  <c r="U231" i="1"/>
  <c r="X192" i="1"/>
  <c r="X237" i="1"/>
  <c r="X236" i="1"/>
  <c r="U223" i="1"/>
  <c r="X222" i="1"/>
  <c r="U221" i="1"/>
  <c r="X291" i="1"/>
  <c r="U300" i="1"/>
  <c r="X295" i="1"/>
  <c r="X310" i="1"/>
  <c r="X306" i="1"/>
  <c r="U305" i="1"/>
  <c r="U303" i="1"/>
  <c r="X294" i="1"/>
  <c r="X283" i="1"/>
  <c r="X308" i="1"/>
  <c r="X317" i="1"/>
  <c r="X299" i="1"/>
  <c r="X316" i="1"/>
  <c r="X188" i="1"/>
  <c r="X208" i="1"/>
  <c r="X230" i="1"/>
  <c r="X268" i="1"/>
  <c r="X251" i="1"/>
  <c r="D180" i="1"/>
  <c r="C180" i="1"/>
  <c r="D157" i="1"/>
  <c r="C157" i="1"/>
  <c r="U179" i="1"/>
  <c r="D179" i="1"/>
  <c r="C179" i="1"/>
  <c r="D165" i="1"/>
  <c r="C165" i="1"/>
  <c r="D148" i="1"/>
  <c r="C148" i="1"/>
  <c r="D156" i="1"/>
  <c r="C156" i="1"/>
  <c r="D150" i="1"/>
  <c r="C150" i="1"/>
  <c r="D149" i="1"/>
  <c r="C149" i="1"/>
  <c r="D152" i="1"/>
  <c r="C152" i="1"/>
  <c r="D151" i="1"/>
  <c r="C151" i="1"/>
  <c r="D155" i="1"/>
  <c r="C155" i="1"/>
  <c r="D161" i="1"/>
  <c r="C161" i="1"/>
  <c r="D160" i="1"/>
  <c r="C160" i="1"/>
  <c r="D162" i="1"/>
  <c r="C162" i="1"/>
  <c r="D174" i="1"/>
  <c r="C174" i="1"/>
  <c r="D136" i="1"/>
  <c r="C136" i="1"/>
  <c r="D138" i="1"/>
  <c r="C138" i="1"/>
  <c r="D137" i="1"/>
  <c r="C137" i="1"/>
  <c r="D140" i="1"/>
  <c r="C140" i="1"/>
  <c r="D139" i="1"/>
  <c r="C139" i="1"/>
  <c r="D143" i="1"/>
  <c r="C143" i="1"/>
  <c r="D142" i="1"/>
  <c r="C142" i="1"/>
  <c r="D147" i="1"/>
  <c r="C147" i="1"/>
  <c r="D146" i="1"/>
  <c r="C146" i="1"/>
  <c r="D154" i="1"/>
  <c r="C154" i="1"/>
  <c r="D159" i="1"/>
  <c r="C159" i="1"/>
  <c r="D135" i="1"/>
  <c r="C135" i="1"/>
  <c r="D164" i="1"/>
  <c r="C164" i="1"/>
  <c r="D134" i="1"/>
  <c r="C134" i="1"/>
  <c r="D194" i="1"/>
  <c r="C194" i="1"/>
  <c r="D199" i="1"/>
  <c r="C199" i="1"/>
  <c r="D169" i="1"/>
  <c r="C169" i="1"/>
  <c r="D131" i="1"/>
  <c r="C131" i="1"/>
  <c r="D133" i="1"/>
  <c r="C133" i="1"/>
  <c r="D153" i="1"/>
  <c r="C153" i="1"/>
  <c r="D178" i="1"/>
  <c r="C178" i="1"/>
  <c r="D193" i="1"/>
  <c r="C193" i="1"/>
  <c r="D158" i="1"/>
  <c r="C158" i="1"/>
  <c r="D166" i="1"/>
  <c r="C166" i="1"/>
  <c r="D168" i="1"/>
  <c r="C168" i="1"/>
  <c r="D167" i="1"/>
  <c r="C167" i="1"/>
  <c r="D173" i="1"/>
  <c r="C173" i="1"/>
  <c r="D172" i="1"/>
  <c r="C172" i="1"/>
  <c r="D171" i="1"/>
  <c r="C171" i="1"/>
  <c r="D163" i="1"/>
  <c r="C163" i="1"/>
  <c r="D214" i="1"/>
  <c r="C214" i="1"/>
  <c r="D225" i="1"/>
  <c r="C225" i="1"/>
  <c r="D132" i="1"/>
  <c r="C132" i="1"/>
  <c r="D234" i="1"/>
  <c r="C234" i="1"/>
  <c r="D257" i="1"/>
  <c r="C257" i="1"/>
  <c r="D256" i="1"/>
  <c r="C256" i="1"/>
  <c r="D255" i="1"/>
  <c r="C255" i="1"/>
  <c r="D177" i="1"/>
  <c r="C177" i="1"/>
  <c r="D185" i="1"/>
  <c r="C185" i="1"/>
  <c r="D170" i="1"/>
  <c r="C170" i="1"/>
  <c r="D182" i="1"/>
  <c r="C182" i="1"/>
  <c r="D176" i="1"/>
  <c r="C176" i="1"/>
  <c r="D284" i="1"/>
  <c r="C284" i="1"/>
  <c r="D270" i="1"/>
  <c r="C270" i="1"/>
  <c r="D198" i="1"/>
  <c r="C198" i="1"/>
  <c r="D224" i="1"/>
  <c r="C224" i="1"/>
  <c r="D189" i="1"/>
  <c r="C189" i="1"/>
  <c r="D181" i="1"/>
  <c r="C181" i="1"/>
  <c r="D184" i="1"/>
  <c r="C184" i="1"/>
  <c r="D183" i="1"/>
  <c r="C183" i="1"/>
  <c r="D213" i="1"/>
  <c r="C213" i="1"/>
  <c r="D212" i="1"/>
  <c r="C212" i="1"/>
  <c r="D211" i="1"/>
  <c r="C211" i="1"/>
  <c r="D210" i="1"/>
  <c r="C210" i="1"/>
  <c r="D209" i="1"/>
  <c r="C209" i="1"/>
  <c r="D254" i="1"/>
  <c r="C254" i="1"/>
  <c r="D267" i="1"/>
  <c r="C267" i="1"/>
  <c r="D253" i="1"/>
  <c r="C253" i="1"/>
  <c r="D252" i="1"/>
  <c r="C252" i="1"/>
  <c r="D302" i="1"/>
  <c r="C302" i="1"/>
  <c r="D266" i="1"/>
  <c r="C266" i="1"/>
  <c r="D265" i="1"/>
  <c r="C265" i="1"/>
  <c r="D264" i="1"/>
  <c r="C264" i="1"/>
  <c r="D269" i="1"/>
  <c r="C269" i="1"/>
  <c r="D245" i="1"/>
  <c r="C245" i="1"/>
  <c r="D244" i="1"/>
  <c r="C244" i="1"/>
  <c r="D243" i="1"/>
  <c r="C243" i="1"/>
  <c r="D242" i="1"/>
  <c r="C242" i="1"/>
  <c r="D233" i="1"/>
  <c r="C233" i="1"/>
  <c r="D232" i="1"/>
  <c r="C232" i="1"/>
  <c r="D231" i="1"/>
  <c r="C231" i="1"/>
  <c r="D192" i="1"/>
  <c r="C192" i="1"/>
  <c r="D237" i="1"/>
  <c r="C237" i="1"/>
  <c r="D236" i="1"/>
  <c r="C236" i="1"/>
  <c r="D223" i="1"/>
  <c r="C223" i="1"/>
  <c r="D222" i="1"/>
  <c r="C222" i="1"/>
  <c r="D221" i="1"/>
  <c r="C221" i="1"/>
  <c r="D291" i="1"/>
  <c r="C291" i="1"/>
  <c r="D300" i="1"/>
  <c r="C300" i="1"/>
  <c r="D295" i="1"/>
  <c r="C295" i="1"/>
  <c r="D310" i="1"/>
  <c r="C310" i="1"/>
  <c r="D306" i="1"/>
  <c r="C306" i="1"/>
  <c r="D305" i="1"/>
  <c r="C305" i="1"/>
  <c r="D303" i="1"/>
  <c r="C303" i="1"/>
  <c r="D294" i="1"/>
  <c r="C294" i="1"/>
  <c r="D283" i="1"/>
  <c r="C283" i="1"/>
  <c r="D308" i="1"/>
  <c r="C308" i="1"/>
  <c r="D317" i="1"/>
  <c r="C317" i="1"/>
  <c r="D299" i="1"/>
  <c r="C299" i="1"/>
  <c r="D316" i="1"/>
  <c r="C316" i="1"/>
  <c r="D188" i="1"/>
  <c r="C188" i="1"/>
  <c r="D208" i="1"/>
  <c r="C208" i="1"/>
  <c r="D230" i="1"/>
  <c r="C230" i="1"/>
  <c r="D268" i="1"/>
  <c r="C268" i="1"/>
  <c r="D251" i="1"/>
  <c r="C251" i="1"/>
  <c r="U268" i="1" l="1"/>
  <c r="U245" i="1"/>
  <c r="U183" i="1"/>
  <c r="U308" i="1"/>
  <c r="U302" i="1"/>
  <c r="G266" i="1"/>
  <c r="U251" i="1"/>
  <c r="G308" i="1"/>
  <c r="U174" i="1"/>
  <c r="U188" i="1"/>
  <c r="U242" i="1"/>
  <c r="U225" i="1"/>
  <c r="U153" i="1"/>
  <c r="U306" i="1"/>
  <c r="U210" i="1"/>
  <c r="U317" i="1"/>
  <c r="U236" i="1"/>
  <c r="U265" i="1"/>
  <c r="U212" i="1"/>
  <c r="U184" i="1"/>
  <c r="U177" i="1"/>
  <c r="U168" i="1"/>
  <c r="U135" i="1"/>
  <c r="U149" i="1"/>
  <c r="U283" i="1"/>
  <c r="U244" i="1"/>
  <c r="U253" i="1"/>
  <c r="U316" i="1"/>
  <c r="U176" i="1"/>
  <c r="G243" i="1"/>
  <c r="G269" i="1"/>
  <c r="G214" i="1"/>
  <c r="G162" i="1"/>
  <c r="G189" i="1"/>
  <c r="G178" i="1"/>
  <c r="G156" i="1"/>
  <c r="G165" i="1"/>
  <c r="X156" i="1"/>
  <c r="G161" i="1"/>
  <c r="X162" i="1"/>
  <c r="X142" i="1"/>
  <c r="X194" i="1"/>
  <c r="U169" i="1"/>
  <c r="X158" i="1"/>
  <c r="G158" i="1"/>
  <c r="U166" i="1"/>
  <c r="X214" i="1"/>
  <c r="U234" i="1"/>
  <c r="X185" i="1"/>
  <c r="U170" i="1"/>
  <c r="U224" i="1"/>
  <c r="X189" i="1"/>
  <c r="U181" i="1"/>
  <c r="X209" i="1"/>
  <c r="X264" i="1"/>
  <c r="U232" i="1"/>
  <c r="X231" i="1"/>
  <c r="U222" i="1"/>
  <c r="G222" i="1"/>
  <c r="U291" i="1"/>
  <c r="X300" i="1"/>
  <c r="U208" i="1"/>
  <c r="X303" i="1"/>
  <c r="X256" i="1"/>
  <c r="X155" i="1"/>
  <c r="U295" i="1"/>
  <c r="G237" i="1"/>
  <c r="U192" i="1"/>
  <c r="U270" i="1"/>
  <c r="U132" i="1"/>
  <c r="G171" i="1"/>
  <c r="U172" i="1"/>
  <c r="U147" i="1"/>
  <c r="U136" i="1"/>
  <c r="X305" i="1"/>
  <c r="X223" i="1"/>
  <c r="X243" i="1"/>
  <c r="X252" i="1"/>
  <c r="X213" i="1"/>
  <c r="X284" i="1"/>
  <c r="X257" i="1"/>
  <c r="X173" i="1"/>
  <c r="X133" i="1"/>
  <c r="X159" i="1"/>
  <c r="X137" i="1"/>
  <c r="X151" i="1"/>
  <c r="X157" i="1"/>
  <c r="X140" i="1"/>
  <c r="G251" i="1"/>
  <c r="U310" i="1"/>
  <c r="G300" i="1"/>
  <c r="U269" i="1"/>
  <c r="G302" i="1"/>
  <c r="G267" i="1"/>
  <c r="U254" i="1"/>
  <c r="U199" i="1"/>
  <c r="U146" i="1"/>
  <c r="G142" i="1"/>
  <c r="G139" i="1"/>
  <c r="X150" i="1"/>
  <c r="G305" i="1"/>
  <c r="G295" i="1"/>
  <c r="G221" i="1"/>
  <c r="G264" i="1"/>
  <c r="G270" i="1"/>
  <c r="G182" i="1"/>
  <c r="G194" i="1"/>
  <c r="G164" i="1"/>
  <c r="G180" i="1"/>
  <c r="G268" i="1"/>
  <c r="U230" i="1"/>
  <c r="U299" i="1"/>
  <c r="U294" i="1"/>
  <c r="U233" i="1"/>
  <c r="U211" i="1"/>
  <c r="G213" i="1"/>
  <c r="G181" i="1"/>
  <c r="G198" i="1"/>
  <c r="U255" i="1"/>
  <c r="G257" i="1"/>
  <c r="G225" i="1"/>
  <c r="G166" i="1"/>
  <c r="G199" i="1"/>
  <c r="G147" i="1"/>
  <c r="G174" i="1"/>
  <c r="G150" i="1"/>
  <c r="X163" i="1"/>
  <c r="X167" i="1"/>
  <c r="X193" i="1"/>
  <c r="X131" i="1"/>
  <c r="X134" i="1"/>
  <c r="X154" i="1"/>
  <c r="X143" i="1"/>
  <c r="X138" i="1"/>
  <c r="X160" i="1"/>
  <c r="X152" i="1"/>
  <c r="X148" i="1"/>
  <c r="X180" i="1"/>
  <c r="G188" i="1"/>
  <c r="G317" i="1"/>
  <c r="G303" i="1"/>
  <c r="G310" i="1"/>
  <c r="U237" i="1"/>
  <c r="G231" i="1"/>
  <c r="G242" i="1"/>
  <c r="G245" i="1"/>
  <c r="U267" i="1"/>
  <c r="G209" i="1"/>
  <c r="G212" i="1"/>
  <c r="G184" i="1"/>
  <c r="U182" i="1"/>
  <c r="G185" i="1"/>
  <c r="G256" i="1"/>
  <c r="G132" i="1"/>
  <c r="U171" i="1"/>
  <c r="G173" i="1"/>
  <c r="G168" i="1"/>
  <c r="U178" i="1"/>
  <c r="G133" i="1"/>
  <c r="G169" i="1"/>
  <c r="U164" i="1"/>
  <c r="G159" i="1"/>
  <c r="G146" i="1"/>
  <c r="U139" i="1"/>
  <c r="G137" i="1"/>
  <c r="G136" i="1"/>
  <c r="U161" i="1"/>
  <c r="G151" i="1"/>
  <c r="G149" i="1"/>
  <c r="U165" i="1"/>
  <c r="G157" i="1"/>
  <c r="X221" i="1"/>
  <c r="X266" i="1"/>
  <c r="X198" i="1"/>
  <c r="G299" i="1"/>
  <c r="G294" i="1"/>
  <c r="G223" i="1"/>
  <c r="G192" i="1"/>
  <c r="G233" i="1"/>
  <c r="G252" i="1"/>
  <c r="G254" i="1"/>
  <c r="G211" i="1"/>
  <c r="G284" i="1"/>
  <c r="G170" i="1"/>
  <c r="G255" i="1"/>
  <c r="G172" i="1"/>
  <c r="G153" i="1"/>
  <c r="G135" i="1"/>
  <c r="G140" i="1"/>
  <c r="G155" i="1"/>
  <c r="G179" i="1"/>
  <c r="G253" i="1"/>
  <c r="G176" i="1"/>
  <c r="G193" i="1"/>
  <c r="G131" i="1"/>
  <c r="G134" i="1"/>
  <c r="G154" i="1"/>
  <c r="G143" i="1"/>
  <c r="G138" i="1"/>
  <c r="G160" i="1"/>
  <c r="G152" i="1"/>
  <c r="G148" i="1"/>
  <c r="G234" i="1"/>
  <c r="G167" i="1"/>
  <c r="G316" i="1"/>
  <c r="G283" i="1"/>
  <c r="G306" i="1"/>
  <c r="G291" i="1"/>
  <c r="G236" i="1"/>
  <c r="G232" i="1"/>
  <c r="G244" i="1"/>
  <c r="G265" i="1"/>
  <c r="G210" i="1"/>
  <c r="G183" i="1"/>
  <c r="G224" i="1"/>
  <c r="G177" i="1"/>
  <c r="G163" i="1"/>
  <c r="G230" i="1"/>
  <c r="G208" i="1"/>
  <c r="U111" i="1"/>
  <c r="U110" i="1"/>
  <c r="X130" i="1" l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L28" i="1"/>
  <c r="M107" i="1"/>
  <c r="M106" i="1"/>
  <c r="M105" i="1"/>
  <c r="M73" i="1"/>
  <c r="M117" i="1"/>
  <c r="M116" i="1"/>
  <c r="M69" i="1"/>
  <c r="M72" i="1"/>
  <c r="M23" i="1"/>
  <c r="M27" i="1"/>
  <c r="M26" i="1"/>
  <c r="M32" i="1"/>
  <c r="M38" i="1"/>
  <c r="M44" i="1"/>
  <c r="M68" i="1"/>
  <c r="M79" i="1"/>
  <c r="M78" i="1"/>
  <c r="M77" i="1"/>
  <c r="M76" i="1"/>
  <c r="M87" i="1"/>
  <c r="M86" i="1"/>
  <c r="M92" i="1"/>
  <c r="M91" i="1"/>
  <c r="M31" i="1"/>
  <c r="M36" i="1"/>
  <c r="D13" i="1"/>
  <c r="C13" i="1"/>
  <c r="D130" i="1"/>
  <c r="C130" i="1"/>
  <c r="D111" i="1"/>
  <c r="C111" i="1"/>
  <c r="D109" i="1"/>
  <c r="C109" i="1"/>
  <c r="D123" i="1"/>
  <c r="C123" i="1"/>
  <c r="D127" i="1"/>
  <c r="C127" i="1"/>
  <c r="D122" i="1"/>
  <c r="C122" i="1"/>
  <c r="D129" i="1"/>
  <c r="C129" i="1"/>
  <c r="D121" i="1"/>
  <c r="C121" i="1"/>
  <c r="D52" i="1"/>
  <c r="C52" i="1"/>
  <c r="D120" i="1"/>
  <c r="C120" i="1"/>
  <c r="D126" i="1"/>
  <c r="C126" i="1"/>
  <c r="D119" i="1"/>
  <c r="C119" i="1"/>
  <c r="D118" i="1"/>
  <c r="C118" i="1"/>
  <c r="D96" i="1"/>
  <c r="C96" i="1"/>
  <c r="D95" i="1"/>
  <c r="C95" i="1"/>
  <c r="D103" i="1"/>
  <c r="C103" i="1"/>
  <c r="D70" i="1"/>
  <c r="C70" i="1"/>
  <c r="D9" i="1"/>
  <c r="C9" i="1"/>
  <c r="D8" i="1"/>
  <c r="C8" i="1"/>
  <c r="D45" i="1"/>
  <c r="C45" i="1"/>
  <c r="D40" i="1"/>
  <c r="G40" i="1" s="1"/>
  <c r="C40" i="1"/>
  <c r="D3" i="1"/>
  <c r="C3" i="1"/>
  <c r="D2" i="1"/>
  <c r="C2" i="1"/>
  <c r="D90" i="1"/>
  <c r="C90" i="1"/>
  <c r="D28" i="1"/>
  <c r="C28" i="1"/>
  <c r="D94" i="1"/>
  <c r="C94" i="1"/>
  <c r="D93" i="1"/>
  <c r="C93" i="1"/>
  <c r="D80" i="1"/>
  <c r="C80" i="1"/>
  <c r="D5" i="1"/>
  <c r="C5" i="1"/>
  <c r="D64" i="1"/>
  <c r="C64" i="1"/>
  <c r="D63" i="1"/>
  <c r="C63" i="1"/>
  <c r="D51" i="1"/>
  <c r="C51" i="1"/>
  <c r="D62" i="1"/>
  <c r="C62" i="1"/>
  <c r="D61" i="1"/>
  <c r="C61" i="1"/>
  <c r="D56" i="1"/>
  <c r="C56" i="1"/>
  <c r="D60" i="1"/>
  <c r="C60" i="1"/>
  <c r="D125" i="1"/>
  <c r="C125" i="1"/>
  <c r="D85" i="1"/>
  <c r="C85" i="1"/>
  <c r="D124" i="1"/>
  <c r="C124" i="1"/>
  <c r="D128" i="1"/>
  <c r="C128" i="1"/>
  <c r="D49" i="1"/>
  <c r="C49" i="1"/>
  <c r="D89" i="1"/>
  <c r="C89" i="1"/>
  <c r="D4" i="1"/>
  <c r="C4" i="1"/>
  <c r="D84" i="1"/>
  <c r="C84" i="1"/>
  <c r="D114" i="1"/>
  <c r="C114" i="1"/>
  <c r="D102" i="1"/>
  <c r="C102" i="1"/>
  <c r="D100" i="1"/>
  <c r="C100" i="1"/>
  <c r="D113" i="1"/>
  <c r="C113" i="1"/>
  <c r="D99" i="1"/>
  <c r="C99" i="1"/>
  <c r="D108" i="1"/>
  <c r="C108" i="1"/>
  <c r="D107" i="1"/>
  <c r="C107" i="1"/>
  <c r="D106" i="1"/>
  <c r="C106" i="1"/>
  <c r="D105" i="1"/>
  <c r="C105" i="1"/>
  <c r="D73" i="1"/>
  <c r="C73" i="1"/>
  <c r="D117" i="1"/>
  <c r="C117" i="1"/>
  <c r="D116" i="1"/>
  <c r="C116" i="1"/>
  <c r="D69" i="1"/>
  <c r="C69" i="1"/>
  <c r="D72" i="1"/>
  <c r="C72" i="1"/>
  <c r="D23" i="1"/>
  <c r="C23" i="1"/>
  <c r="D27" i="1"/>
  <c r="C27" i="1"/>
  <c r="D26" i="1"/>
  <c r="C26" i="1"/>
  <c r="D32" i="1"/>
  <c r="C32" i="1"/>
  <c r="D38" i="1"/>
  <c r="C38" i="1"/>
  <c r="D37" i="1"/>
  <c r="C37" i="1"/>
  <c r="D44" i="1"/>
  <c r="C44" i="1"/>
  <c r="D68" i="1"/>
  <c r="C68" i="1"/>
  <c r="D79" i="1"/>
  <c r="C79" i="1"/>
  <c r="D78" i="1"/>
  <c r="C78" i="1"/>
  <c r="D77" i="1"/>
  <c r="C77" i="1"/>
  <c r="D76" i="1"/>
  <c r="C76" i="1"/>
  <c r="D83" i="1"/>
  <c r="C83" i="1"/>
  <c r="D87" i="1"/>
  <c r="C87" i="1"/>
  <c r="D86" i="1"/>
  <c r="C86" i="1"/>
  <c r="D92" i="1"/>
  <c r="C92" i="1"/>
  <c r="D91" i="1"/>
  <c r="C91" i="1"/>
  <c r="D31" i="1"/>
  <c r="C31" i="1"/>
  <c r="D36" i="1"/>
  <c r="C36" i="1"/>
  <c r="D39" i="1"/>
  <c r="C39" i="1"/>
  <c r="M39" i="1"/>
  <c r="M43" i="1"/>
  <c r="M48" i="1"/>
  <c r="M59" i="1"/>
  <c r="M67" i="1"/>
  <c r="M47" i="1"/>
  <c r="M55" i="1"/>
  <c r="M54" i="1"/>
  <c r="M57" i="1"/>
  <c r="M65" i="1"/>
  <c r="M75" i="1"/>
  <c r="M50" i="1"/>
  <c r="M6" i="1"/>
  <c r="M7" i="1"/>
  <c r="M42" i="1"/>
  <c r="M30" i="1"/>
  <c r="M25" i="1"/>
  <c r="M33" i="1"/>
  <c r="M15" i="1"/>
  <c r="M14" i="1"/>
  <c r="M53" i="1"/>
  <c r="M41" i="1"/>
  <c r="M29" i="1"/>
  <c r="M22" i="1"/>
  <c r="M24" i="1"/>
  <c r="M21" i="1"/>
  <c r="M20" i="1"/>
  <c r="M16" i="1"/>
  <c r="M12" i="1"/>
  <c r="M11" i="1"/>
  <c r="M10" i="1"/>
  <c r="M74" i="1"/>
  <c r="M19" i="1"/>
  <c r="M104" i="1"/>
  <c r="M82" i="1"/>
  <c r="U13" i="1"/>
  <c r="U130" i="1"/>
  <c r="U109" i="1"/>
  <c r="U123" i="1"/>
  <c r="U127" i="1"/>
  <c r="U122" i="1"/>
  <c r="U129" i="1"/>
  <c r="U121" i="1"/>
  <c r="U52" i="1"/>
  <c r="U120" i="1"/>
  <c r="U126" i="1"/>
  <c r="U119" i="1"/>
  <c r="U118" i="1"/>
  <c r="U96" i="1"/>
  <c r="U95" i="1"/>
  <c r="U103" i="1"/>
  <c r="U70" i="1"/>
  <c r="U9" i="1"/>
  <c r="U8" i="1"/>
  <c r="U40" i="1"/>
  <c r="U3" i="1"/>
  <c r="U2" i="1"/>
  <c r="U90" i="1"/>
  <c r="U28" i="1"/>
  <c r="U93" i="1"/>
  <c r="U80" i="1"/>
  <c r="U5" i="1"/>
  <c r="U63" i="1"/>
  <c r="U62" i="1"/>
  <c r="U61" i="1"/>
  <c r="U56" i="1"/>
  <c r="U60" i="1"/>
  <c r="U125" i="1"/>
  <c r="U124" i="1"/>
  <c r="U128" i="1"/>
  <c r="U49" i="1"/>
  <c r="U4" i="1"/>
  <c r="U114" i="1"/>
  <c r="U102" i="1"/>
  <c r="U100" i="1"/>
  <c r="U99" i="1"/>
  <c r="U107" i="1"/>
  <c r="U105" i="1"/>
  <c r="U73" i="1"/>
  <c r="U116" i="1"/>
  <c r="U72" i="1"/>
  <c r="U23" i="1"/>
  <c r="U27" i="1"/>
  <c r="U26" i="1"/>
  <c r="U32" i="1"/>
  <c r="U38" i="1"/>
  <c r="U37" i="1"/>
  <c r="U44" i="1"/>
  <c r="U68" i="1"/>
  <c r="U79" i="1"/>
  <c r="U78" i="1"/>
  <c r="U77" i="1"/>
  <c r="U76" i="1"/>
  <c r="U83" i="1"/>
  <c r="U87" i="1"/>
  <c r="U86" i="1"/>
  <c r="U92" i="1"/>
  <c r="U91" i="1"/>
  <c r="U31" i="1"/>
  <c r="U36" i="1"/>
  <c r="U39" i="1"/>
  <c r="U43" i="1"/>
  <c r="U48" i="1"/>
  <c r="U59" i="1"/>
  <c r="U67" i="1"/>
  <c r="U66" i="1"/>
  <c r="U47" i="1"/>
  <c r="U55" i="1"/>
  <c r="U54" i="1"/>
  <c r="U58" i="1"/>
  <c r="U57" i="1"/>
  <c r="U65" i="1"/>
  <c r="U75" i="1"/>
  <c r="U50" i="1"/>
  <c r="U6" i="1"/>
  <c r="U7" i="1"/>
  <c r="U42" i="1"/>
  <c r="U18" i="1"/>
  <c r="U30" i="1"/>
  <c r="U33" i="1"/>
  <c r="U35" i="1"/>
  <c r="U15" i="1"/>
  <c r="U17" i="1"/>
  <c r="U14" i="1"/>
  <c r="U34" i="1"/>
  <c r="U53" i="1"/>
  <c r="U41" i="1"/>
  <c r="U29" i="1"/>
  <c r="U22" i="1"/>
  <c r="U24" i="1"/>
  <c r="U21" i="1"/>
  <c r="U20" i="1"/>
  <c r="U16" i="1"/>
  <c r="U12" i="1"/>
  <c r="U11" i="1"/>
  <c r="U10" i="1"/>
  <c r="U74" i="1"/>
  <c r="U19" i="1"/>
  <c r="U88" i="1"/>
  <c r="U115" i="1"/>
  <c r="U112" i="1"/>
  <c r="U98" i="1"/>
  <c r="U97" i="1"/>
  <c r="U71" i="1"/>
  <c r="U46" i="1"/>
  <c r="U104" i="1"/>
  <c r="U82" i="1"/>
  <c r="U101" i="1"/>
  <c r="L13" i="1"/>
  <c r="L130" i="1"/>
  <c r="L111" i="1"/>
  <c r="L109" i="1"/>
  <c r="L123" i="1"/>
  <c r="L127" i="1"/>
  <c r="L122" i="1"/>
  <c r="L129" i="1"/>
  <c r="L121" i="1"/>
  <c r="L52" i="1"/>
  <c r="L120" i="1"/>
  <c r="L126" i="1"/>
  <c r="L119" i="1"/>
  <c r="L118" i="1"/>
  <c r="L96" i="1"/>
  <c r="L95" i="1"/>
  <c r="L103" i="1"/>
  <c r="L70" i="1"/>
  <c r="L9" i="1"/>
  <c r="L8" i="1"/>
  <c r="L45" i="1"/>
  <c r="L40" i="1"/>
  <c r="L3" i="1"/>
  <c r="L2" i="1"/>
  <c r="L90" i="1"/>
  <c r="L94" i="1"/>
  <c r="L93" i="1"/>
  <c r="L80" i="1"/>
  <c r="L5" i="1"/>
  <c r="L64" i="1"/>
  <c r="L63" i="1"/>
  <c r="L51" i="1"/>
  <c r="L62" i="1"/>
  <c r="L61" i="1"/>
  <c r="L56" i="1"/>
  <c r="L60" i="1"/>
  <c r="L125" i="1"/>
  <c r="L85" i="1"/>
  <c r="L124" i="1"/>
  <c r="L128" i="1"/>
  <c r="L49" i="1"/>
  <c r="L89" i="1"/>
  <c r="L4" i="1"/>
  <c r="L84" i="1"/>
  <c r="L114" i="1"/>
  <c r="L102" i="1"/>
  <c r="L100" i="1"/>
  <c r="L113" i="1"/>
  <c r="L99" i="1"/>
  <c r="L108" i="1"/>
  <c r="L107" i="1"/>
  <c r="L106" i="1"/>
  <c r="L105" i="1"/>
  <c r="L73" i="1"/>
  <c r="L117" i="1"/>
  <c r="L116" i="1"/>
  <c r="L69" i="1"/>
  <c r="L72" i="1"/>
  <c r="L23" i="1"/>
  <c r="L27" i="1"/>
  <c r="L26" i="1"/>
  <c r="L32" i="1"/>
  <c r="L38" i="1"/>
  <c r="L37" i="1"/>
  <c r="L44" i="1"/>
  <c r="L68" i="1"/>
  <c r="L79" i="1"/>
  <c r="L78" i="1"/>
  <c r="L77" i="1"/>
  <c r="L76" i="1"/>
  <c r="L83" i="1"/>
  <c r="L87" i="1"/>
  <c r="L86" i="1"/>
  <c r="L92" i="1"/>
  <c r="L91" i="1"/>
  <c r="L31" i="1"/>
  <c r="L36" i="1"/>
  <c r="L39" i="1"/>
  <c r="L43" i="1"/>
  <c r="L48" i="1"/>
  <c r="L59" i="1"/>
  <c r="L67" i="1"/>
  <c r="L66" i="1"/>
  <c r="L47" i="1"/>
  <c r="L55" i="1"/>
  <c r="L54" i="1"/>
  <c r="L58" i="1"/>
  <c r="L57" i="1"/>
  <c r="L65" i="1"/>
  <c r="L75" i="1"/>
  <c r="L50" i="1"/>
  <c r="L6" i="1"/>
  <c r="L7" i="1"/>
  <c r="L42" i="1"/>
  <c r="L18" i="1"/>
  <c r="L30" i="1"/>
  <c r="L25" i="1"/>
  <c r="L33" i="1"/>
  <c r="L35" i="1"/>
  <c r="L15" i="1"/>
  <c r="L17" i="1"/>
  <c r="L14" i="1"/>
  <c r="L34" i="1"/>
  <c r="L53" i="1"/>
  <c r="L41" i="1"/>
  <c r="L29" i="1"/>
  <c r="L22" i="1"/>
  <c r="L24" i="1"/>
  <c r="L21" i="1"/>
  <c r="L20" i="1"/>
  <c r="L16" i="1"/>
  <c r="L12" i="1"/>
  <c r="L11" i="1"/>
  <c r="L10" i="1"/>
  <c r="L74" i="1"/>
  <c r="L19" i="1"/>
  <c r="L88" i="1"/>
  <c r="L115" i="1"/>
  <c r="L112" i="1"/>
  <c r="L110" i="1"/>
  <c r="L98" i="1"/>
  <c r="L97" i="1"/>
  <c r="L71" i="1"/>
  <c r="L46" i="1"/>
  <c r="L104" i="1"/>
  <c r="L82" i="1"/>
  <c r="L101" i="1"/>
  <c r="G109" i="1"/>
  <c r="G127" i="1"/>
  <c r="G129" i="1"/>
  <c r="G52" i="1"/>
  <c r="G126" i="1"/>
  <c r="G118" i="1"/>
  <c r="G95" i="1"/>
  <c r="G70" i="1"/>
  <c r="G2" i="1"/>
  <c r="G28" i="1"/>
  <c r="G93" i="1"/>
  <c r="G5" i="1"/>
  <c r="G63" i="1"/>
  <c r="G56" i="1"/>
  <c r="G125" i="1"/>
  <c r="G49" i="1"/>
  <c r="G114" i="1"/>
  <c r="G105" i="1"/>
  <c r="G69" i="1"/>
  <c r="G26" i="1"/>
  <c r="G44" i="1"/>
  <c r="G83" i="1"/>
  <c r="G43" i="1"/>
  <c r="G48" i="1"/>
  <c r="G59" i="1"/>
  <c r="G67" i="1"/>
  <c r="G66" i="1"/>
  <c r="G47" i="1"/>
  <c r="G55" i="1"/>
  <c r="G54" i="1"/>
  <c r="G58" i="1"/>
  <c r="G57" i="1"/>
  <c r="G65" i="1"/>
  <c r="G75" i="1"/>
  <c r="G50" i="1"/>
  <c r="G6" i="1"/>
  <c r="G7" i="1"/>
  <c r="G42" i="1"/>
  <c r="G18" i="1"/>
  <c r="G30" i="1"/>
  <c r="G25" i="1"/>
  <c r="G33" i="1"/>
  <c r="G35" i="1"/>
  <c r="G15" i="1"/>
  <c r="G17" i="1"/>
  <c r="G14" i="1"/>
  <c r="G34" i="1"/>
  <c r="G53" i="1"/>
  <c r="G41" i="1"/>
  <c r="G29" i="1"/>
  <c r="G22" i="1"/>
  <c r="G24" i="1"/>
  <c r="G21" i="1"/>
  <c r="G20" i="1"/>
  <c r="G16" i="1"/>
  <c r="G12" i="1"/>
  <c r="G11" i="1"/>
  <c r="G10" i="1"/>
  <c r="G74" i="1"/>
  <c r="G19" i="1"/>
  <c r="G88" i="1"/>
  <c r="G115" i="1"/>
  <c r="G112" i="1"/>
  <c r="G110" i="1"/>
  <c r="G98" i="1"/>
  <c r="G97" i="1"/>
  <c r="G71" i="1"/>
  <c r="G46" i="1"/>
  <c r="G104" i="1"/>
  <c r="G82" i="1"/>
  <c r="G101" i="1"/>
  <c r="M81" i="1"/>
  <c r="L81" i="1"/>
  <c r="G39" i="1" l="1"/>
  <c r="G32" i="1"/>
  <c r="G102" i="1"/>
  <c r="G85" i="1"/>
  <c r="G61" i="1"/>
  <c r="G3" i="1"/>
  <c r="G45" i="1"/>
  <c r="G96" i="1"/>
  <c r="G92" i="1"/>
  <c r="G37" i="1"/>
  <c r="G89" i="1"/>
  <c r="G60" i="1"/>
  <c r="G51" i="1"/>
  <c r="G94" i="1"/>
  <c r="G9" i="1"/>
  <c r="G130" i="1"/>
  <c r="G36" i="1"/>
  <c r="G91" i="1"/>
  <c r="G79" i="1"/>
  <c r="G117" i="1"/>
  <c r="G99" i="1"/>
  <c r="G124" i="1"/>
  <c r="U117" i="1"/>
  <c r="U64" i="1"/>
  <c r="U84" i="1"/>
  <c r="G31" i="1"/>
  <c r="G87" i="1"/>
  <c r="G76" i="1"/>
  <c r="G78" i="1"/>
  <c r="G68" i="1"/>
  <c r="G72" i="1"/>
  <c r="G116" i="1"/>
  <c r="G73" i="1"/>
  <c r="G106" i="1"/>
  <c r="G108" i="1"/>
  <c r="G113" i="1"/>
  <c r="G84" i="1"/>
  <c r="G128" i="1"/>
  <c r="G64" i="1"/>
  <c r="G90" i="1"/>
  <c r="G103" i="1"/>
  <c r="G119" i="1"/>
  <c r="G120" i="1"/>
  <c r="G121" i="1"/>
  <c r="G122" i="1"/>
  <c r="G123" i="1"/>
  <c r="G111" i="1"/>
  <c r="G13" i="1"/>
  <c r="U51" i="1"/>
  <c r="U94" i="1"/>
  <c r="U45" i="1"/>
  <c r="G86" i="1"/>
  <c r="G77" i="1"/>
  <c r="G38" i="1"/>
  <c r="G23" i="1"/>
  <c r="G107" i="1"/>
  <c r="G100" i="1"/>
  <c r="G4" i="1"/>
  <c r="G62" i="1"/>
  <c r="G8" i="1"/>
  <c r="X2" i="1"/>
  <c r="G80" i="1"/>
  <c r="U85" i="1"/>
  <c r="U89" i="1"/>
  <c r="U113" i="1"/>
  <c r="U108" i="1"/>
  <c r="U106" i="1"/>
  <c r="U69" i="1"/>
  <c r="G27" i="1"/>
  <c r="U25" i="1"/>
  <c r="G81" i="1"/>
  <c r="U81" i="1" l="1"/>
</calcChain>
</file>

<file path=xl/comments1.xml><?xml version="1.0" encoding="utf-8"?>
<comments xmlns="http://schemas.openxmlformats.org/spreadsheetml/2006/main">
  <authors>
    <author>despacho rivas</author>
    <author>Lenovo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despacho rivas:</t>
        </r>
        <r>
          <rPr>
            <sz val="9"/>
            <color indexed="81"/>
            <rFont val="Tahoma"/>
            <family val="2"/>
          </rPr>
          <t xml:space="preserve">
COMPRA DE LAVADORA Y SECADORA</t>
        </r>
      </text>
    </comment>
    <comment ref="L307" authorId="1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COMPRA DE MITSUBICHI OUTLANDER BLANCO 2018 50%
</t>
        </r>
      </text>
    </comment>
  </commentList>
</comments>
</file>

<file path=xl/sharedStrings.xml><?xml version="1.0" encoding="utf-8"?>
<sst xmlns="http://schemas.openxmlformats.org/spreadsheetml/2006/main" count="8071" uniqueCount="667">
  <si>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</si>
  <si>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</si>
  <si>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</si>
  <si>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</si>
  <si>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</si>
  <si>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</si>
  <si>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</si>
  <si>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</si>
  <si>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</si>
  <si>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</si>
  <si>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</si>
  <si>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</si>
  <si>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</si>
  <si>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</si>
  <si>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</si>
  <si>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</si>
  <si>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</si>
  <si>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</si>
  <si>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</si>
  <si>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</si>
  <si>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</si>
  <si>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</si>
  <si>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</si>
  <si>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</si>
  <si>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06</t>
  </si>
  <si>
    <t>ABRIL</t>
  </si>
  <si>
    <t>22584</t>
  </si>
  <si>
    <t>06141612021044</t>
  </si>
  <si>
    <t>04</t>
  </si>
  <si>
    <t>10</t>
  </si>
  <si>
    <t>18</t>
  </si>
  <si>
    <t>582</t>
  </si>
  <si>
    <t>02101809761019</t>
  </si>
  <si>
    <t>85200</t>
  </si>
  <si>
    <t>06140207670045</t>
  </si>
  <si>
    <t>21</t>
  </si>
  <si>
    <t>84158</t>
  </si>
  <si>
    <t>06142604071063</t>
  </si>
  <si>
    <t>01</t>
  </si>
  <si>
    <t>12305</t>
  </si>
  <si>
    <t>08</t>
  </si>
  <si>
    <t>50496</t>
  </si>
  <si>
    <t>06141403161033</t>
  </si>
  <si>
    <t>16</t>
  </si>
  <si>
    <t>51722</t>
  </si>
  <si>
    <t>51744</t>
  </si>
  <si>
    <t>22</t>
  </si>
  <si>
    <t>52681</t>
  </si>
  <si>
    <t>23</t>
  </si>
  <si>
    <t>52861</t>
  </si>
  <si>
    <t>28</t>
  </si>
  <si>
    <t>53646</t>
  </si>
  <si>
    <t>12</t>
  </si>
  <si>
    <t>51150</t>
  </si>
  <si>
    <t>93708</t>
  </si>
  <si>
    <t>06141612991019</t>
  </si>
  <si>
    <t>09</t>
  </si>
  <si>
    <t>95030</t>
  </si>
  <si>
    <t>19</t>
  </si>
  <si>
    <t>93460</t>
  </si>
  <si>
    <t>93470</t>
  </si>
  <si>
    <t>93472</t>
  </si>
  <si>
    <t>93682</t>
  </si>
  <si>
    <t>93753</t>
  </si>
  <si>
    <t>93754</t>
  </si>
  <si>
    <t>24</t>
  </si>
  <si>
    <t>93831</t>
  </si>
  <si>
    <t>93784</t>
  </si>
  <si>
    <t>25</t>
  </si>
  <si>
    <t>93980</t>
  </si>
  <si>
    <t>30</t>
  </si>
  <si>
    <t>94360</t>
  </si>
  <si>
    <t>05</t>
  </si>
  <si>
    <t>94599</t>
  </si>
  <si>
    <t>27</t>
  </si>
  <si>
    <t>94103</t>
  </si>
  <si>
    <t>93574</t>
  </si>
  <si>
    <t>93645</t>
  </si>
  <si>
    <t>93573</t>
  </si>
  <si>
    <t>94104</t>
  </si>
  <si>
    <t>26</t>
  </si>
  <si>
    <t>94028</t>
  </si>
  <si>
    <t>93874</t>
  </si>
  <si>
    <t>93932</t>
  </si>
  <si>
    <t>93686</t>
  </si>
  <si>
    <t>94326</t>
  </si>
  <si>
    <t>93324</t>
  </si>
  <si>
    <t>17</t>
  </si>
  <si>
    <t>93281</t>
  </si>
  <si>
    <t>94548</t>
  </si>
  <si>
    <t>95032</t>
  </si>
  <si>
    <t>07</t>
  </si>
  <si>
    <t>94777</t>
  </si>
  <si>
    <t>94678</t>
  </si>
  <si>
    <t>94687</t>
  </si>
  <si>
    <t>94636</t>
  </si>
  <si>
    <t>94626</t>
  </si>
  <si>
    <t>94472</t>
  </si>
  <si>
    <t>94814</t>
  </si>
  <si>
    <t>94773</t>
  </si>
  <si>
    <t>94688</t>
  </si>
  <si>
    <t>94464</t>
  </si>
  <si>
    <t>94343</t>
  </si>
  <si>
    <t>94341</t>
  </si>
  <si>
    <t>2903</t>
  </si>
  <si>
    <t>2803</t>
  </si>
  <si>
    <t>94166</t>
  </si>
  <si>
    <t>2503</t>
  </si>
  <si>
    <t>93931</t>
  </si>
  <si>
    <t>1304</t>
  </si>
  <si>
    <t>95342</t>
  </si>
  <si>
    <t>95337</t>
  </si>
  <si>
    <t>1104</t>
  </si>
  <si>
    <t>95162</t>
  </si>
  <si>
    <t>95161</t>
  </si>
  <si>
    <t>1004</t>
  </si>
  <si>
    <t>95084</t>
  </si>
  <si>
    <t>0904</t>
  </si>
  <si>
    <t>95031</t>
  </si>
  <si>
    <t>94997</t>
  </si>
  <si>
    <t>94996</t>
  </si>
  <si>
    <t>94995</t>
  </si>
  <si>
    <t>0704</t>
  </si>
  <si>
    <t>94775</t>
  </si>
  <si>
    <t>3003</t>
  </si>
  <si>
    <t>94338</t>
  </si>
  <si>
    <t>94165</t>
  </si>
  <si>
    <t>94164</t>
  </si>
  <si>
    <t>93926</t>
  </si>
  <si>
    <t>2403</t>
  </si>
  <si>
    <t>93873</t>
  </si>
  <si>
    <t>93836</t>
  </si>
  <si>
    <t>2303</t>
  </si>
  <si>
    <t>93782</t>
  </si>
  <si>
    <t>0804</t>
  </si>
  <si>
    <t>94904</t>
  </si>
  <si>
    <t>94774</t>
  </si>
  <si>
    <t>2804</t>
  </si>
  <si>
    <t>96494</t>
  </si>
  <si>
    <t>96501</t>
  </si>
  <si>
    <t>94891</t>
  </si>
  <si>
    <t>2104</t>
  </si>
  <si>
    <t>95986</t>
  </si>
  <si>
    <t>95969</t>
  </si>
  <si>
    <t>95967</t>
  </si>
  <si>
    <t>2029860</t>
  </si>
  <si>
    <t>06140108580017</t>
  </si>
  <si>
    <t>1604</t>
  </si>
  <si>
    <t>714300</t>
  </si>
  <si>
    <t>02101911710016</t>
  </si>
  <si>
    <t>2604</t>
  </si>
  <si>
    <t>3975</t>
  </si>
  <si>
    <t>06142904630160</t>
  </si>
  <si>
    <t>281632</t>
  </si>
  <si>
    <t>06140104620021</t>
  </si>
  <si>
    <t>1904</t>
  </si>
  <si>
    <t>26662</t>
  </si>
  <si>
    <t>06141501850054</t>
  </si>
  <si>
    <t>24112</t>
  </si>
  <si>
    <t>06141511720027</t>
  </si>
  <si>
    <t>223554</t>
  </si>
  <si>
    <t>06141708001052</t>
  </si>
  <si>
    <t>1003</t>
  </si>
  <si>
    <t>40471</t>
  </si>
  <si>
    <t>06141008901028</t>
  </si>
  <si>
    <t>1204</t>
  </si>
  <si>
    <t>2988</t>
  </si>
  <si>
    <t>0204</t>
  </si>
  <si>
    <t>10252</t>
  </si>
  <si>
    <t>06141205111012</t>
  </si>
  <si>
    <t>3004</t>
  </si>
  <si>
    <t>89766</t>
  </si>
  <si>
    <t>06140204810014</t>
  </si>
  <si>
    <t>2904</t>
  </si>
  <si>
    <t>115</t>
  </si>
  <si>
    <t>02102203191019</t>
  </si>
  <si>
    <t>3389578</t>
  </si>
  <si>
    <t>06141611951013</t>
  </si>
  <si>
    <t>2040270</t>
  </si>
  <si>
    <t>0604</t>
  </si>
  <si>
    <t>88124</t>
  </si>
  <si>
    <t>0504</t>
  </si>
  <si>
    <t>21047458</t>
  </si>
  <si>
    <t>12171609921018</t>
  </si>
  <si>
    <t>624265</t>
  </si>
  <si>
    <t>06141402560013</t>
  </si>
  <si>
    <t>6296</t>
  </si>
  <si>
    <t>06140202111023</t>
  </si>
  <si>
    <t>0404</t>
  </si>
  <si>
    <t>859</t>
  </si>
  <si>
    <t>06141502131049</t>
  </si>
  <si>
    <t>29549</t>
  </si>
  <si>
    <t>05112411991017</t>
  </si>
  <si>
    <t>1346</t>
  </si>
  <si>
    <t>1203</t>
  </si>
  <si>
    <t>259380</t>
  </si>
  <si>
    <t>06142303911015</t>
  </si>
  <si>
    <t>29765</t>
  </si>
  <si>
    <t>29939</t>
  </si>
  <si>
    <t>1404</t>
  </si>
  <si>
    <t>895</t>
  </si>
  <si>
    <t>3134226</t>
  </si>
  <si>
    <t>06142610981012</t>
  </si>
  <si>
    <t>42825</t>
  </si>
  <si>
    <t>1902</t>
  </si>
  <si>
    <t>27107</t>
  </si>
  <si>
    <t>2402</t>
  </si>
  <si>
    <t>27385</t>
  </si>
  <si>
    <t>29298</t>
  </si>
  <si>
    <t>3103</t>
  </si>
  <si>
    <t>29409</t>
  </si>
  <si>
    <t>1803</t>
  </si>
  <si>
    <t>9258</t>
  </si>
  <si>
    <t>06141707870010</t>
  </si>
  <si>
    <t>9257</t>
  </si>
  <si>
    <t>88250</t>
  </si>
  <si>
    <t>2004</t>
  </si>
  <si>
    <t>164630</t>
  </si>
  <si>
    <t>06141312850038</t>
  </si>
  <si>
    <t>1504</t>
  </si>
  <si>
    <t>43209</t>
  </si>
  <si>
    <t>23928</t>
  </si>
  <si>
    <t>06010811680011</t>
  </si>
  <si>
    <t>807</t>
  </si>
  <si>
    <t>944</t>
  </si>
  <si>
    <t>06140103031026</t>
  </si>
  <si>
    <t>165071</t>
  </si>
  <si>
    <t>8163</t>
  </si>
  <si>
    <t>03150309971011</t>
  </si>
  <si>
    <t>856</t>
  </si>
  <si>
    <t>24550</t>
  </si>
  <si>
    <t>24626</t>
  </si>
  <si>
    <t>24549</t>
  </si>
  <si>
    <t>24575</t>
  </si>
  <si>
    <t>1422</t>
  </si>
  <si>
    <t>06142204860027</t>
  </si>
  <si>
    <t>400</t>
  </si>
  <si>
    <t>2204</t>
  </si>
  <si>
    <t>43828</t>
  </si>
  <si>
    <t>2017442</t>
  </si>
  <si>
    <t>1903</t>
  </si>
  <si>
    <t>8928</t>
  </si>
  <si>
    <t>06141702660013</t>
  </si>
  <si>
    <t>MAYO</t>
  </si>
  <si>
    <t>1305</t>
  </si>
  <si>
    <t>97663</t>
  </si>
  <si>
    <t>1505</t>
  </si>
  <si>
    <t>97509</t>
  </si>
  <si>
    <t>1005</t>
  </si>
  <si>
    <t>97379</t>
  </si>
  <si>
    <t>0605</t>
  </si>
  <si>
    <t>97133</t>
  </si>
  <si>
    <t>99147</t>
  </si>
  <si>
    <t>2905</t>
  </si>
  <si>
    <t>98900</t>
  </si>
  <si>
    <t>2205</t>
  </si>
  <si>
    <t>98327</t>
  </si>
  <si>
    <t>98924</t>
  </si>
  <si>
    <t>2605</t>
  </si>
  <si>
    <t>98702</t>
  </si>
  <si>
    <t>1905</t>
  </si>
  <si>
    <t>98108</t>
  </si>
  <si>
    <t>2105</t>
  </si>
  <si>
    <t>98279</t>
  </si>
  <si>
    <t>2405</t>
  </si>
  <si>
    <t>98456</t>
  </si>
  <si>
    <t>2505</t>
  </si>
  <si>
    <t>98572</t>
  </si>
  <si>
    <t>98557</t>
  </si>
  <si>
    <t>2705</t>
  </si>
  <si>
    <t>98753</t>
  </si>
  <si>
    <t>98273</t>
  </si>
  <si>
    <t>98328</t>
  </si>
  <si>
    <t>2005</t>
  </si>
  <si>
    <t>98204</t>
  </si>
  <si>
    <t>97307</t>
  </si>
  <si>
    <t>0805</t>
  </si>
  <si>
    <t>97279</t>
  </si>
  <si>
    <t>97282</t>
  </si>
  <si>
    <t>1105</t>
  </si>
  <si>
    <t>97479</t>
  </si>
  <si>
    <t>97480</t>
  </si>
  <si>
    <t>0405</t>
  </si>
  <si>
    <t>96981</t>
  </si>
  <si>
    <t>97400</t>
  </si>
  <si>
    <t>97402</t>
  </si>
  <si>
    <t>97401</t>
  </si>
  <si>
    <t>1205</t>
  </si>
  <si>
    <t>97535</t>
  </si>
  <si>
    <t>97552</t>
  </si>
  <si>
    <t>97553</t>
  </si>
  <si>
    <t>97567</t>
  </si>
  <si>
    <t>97840</t>
  </si>
  <si>
    <t>1405</t>
  </si>
  <si>
    <t>97746</t>
  </si>
  <si>
    <t>97745</t>
  </si>
  <si>
    <t>97730</t>
  </si>
  <si>
    <t>2305</t>
  </si>
  <si>
    <t>114266</t>
  </si>
  <si>
    <t>97613</t>
  </si>
  <si>
    <t>97671</t>
  </si>
  <si>
    <t>97697</t>
  </si>
  <si>
    <t>97612</t>
  </si>
  <si>
    <t>97153</t>
  </si>
  <si>
    <t>97137</t>
  </si>
  <si>
    <t>97136</t>
  </si>
  <si>
    <t>97135</t>
  </si>
  <si>
    <t>97134</t>
  </si>
  <si>
    <t>0105</t>
  </si>
  <si>
    <t>96744</t>
  </si>
  <si>
    <t>96730</t>
  </si>
  <si>
    <t>96698</t>
  </si>
  <si>
    <t>0305</t>
  </si>
  <si>
    <t>96867</t>
  </si>
  <si>
    <t>97281</t>
  </si>
  <si>
    <t>0505</t>
  </si>
  <si>
    <t>97012</t>
  </si>
  <si>
    <t>97784</t>
  </si>
  <si>
    <t>98066</t>
  </si>
  <si>
    <t>96582</t>
  </si>
  <si>
    <t>96697</t>
  </si>
  <si>
    <t>2704</t>
  </si>
  <si>
    <t>96435</t>
  </si>
  <si>
    <t>96726</t>
  </si>
  <si>
    <t>96638</t>
  </si>
  <si>
    <t>96700</t>
  </si>
  <si>
    <t>97603</t>
  </si>
  <si>
    <t>97637</t>
  </si>
  <si>
    <t>97396</t>
  </si>
  <si>
    <t>95153</t>
  </si>
  <si>
    <t>97264</t>
  </si>
  <si>
    <t>97103</t>
  </si>
  <si>
    <t>2404</t>
  </si>
  <si>
    <t>96471</t>
  </si>
  <si>
    <t>96401</t>
  </si>
  <si>
    <t>96413</t>
  </si>
  <si>
    <t>96427</t>
  </si>
  <si>
    <t>96318</t>
  </si>
  <si>
    <t>96362</t>
  </si>
  <si>
    <t>2504</t>
  </si>
  <si>
    <t>96289</t>
  </si>
  <si>
    <t>96107</t>
  </si>
  <si>
    <t>96939</t>
  </si>
  <si>
    <t>96573</t>
  </si>
  <si>
    <t>95997</t>
  </si>
  <si>
    <t>95333</t>
  </si>
  <si>
    <t>94986</t>
  </si>
  <si>
    <t>96356</t>
  </si>
  <si>
    <t>97018</t>
  </si>
  <si>
    <t>96961</t>
  </si>
  <si>
    <t>95321</t>
  </si>
  <si>
    <t>96251</t>
  </si>
  <si>
    <t>95378</t>
  </si>
  <si>
    <t>96080</t>
  </si>
  <si>
    <t>96014</t>
  </si>
  <si>
    <t>1704</t>
  </si>
  <si>
    <t>95688</t>
  </si>
  <si>
    <t>95684</t>
  </si>
  <si>
    <t>95655</t>
  </si>
  <si>
    <t>95559</t>
  </si>
  <si>
    <t>95614</t>
  </si>
  <si>
    <t>95509</t>
  </si>
  <si>
    <t>95487</t>
  </si>
  <si>
    <t>95467</t>
  </si>
  <si>
    <t>95377</t>
  </si>
  <si>
    <t>96499</t>
  </si>
  <si>
    <t>2304</t>
  </si>
  <si>
    <t>96172</t>
  </si>
  <si>
    <t>96095</t>
  </si>
  <si>
    <t>96094</t>
  </si>
  <si>
    <t>95981</t>
  </si>
  <si>
    <t>95907</t>
  </si>
  <si>
    <t>95906</t>
  </si>
  <si>
    <t>95796</t>
  </si>
  <si>
    <t>95795</t>
  </si>
  <si>
    <t>95982</t>
  </si>
  <si>
    <t>1804</t>
  </si>
  <si>
    <t>95727</t>
  </si>
  <si>
    <t>96238</t>
  </si>
  <si>
    <t>96565</t>
  </si>
  <si>
    <t>95964</t>
  </si>
  <si>
    <t>96568</t>
  </si>
  <si>
    <t>24015</t>
  </si>
  <si>
    <t>51684</t>
  </si>
  <si>
    <t>51693</t>
  </si>
  <si>
    <t>30929</t>
  </si>
  <si>
    <t>14080506360015</t>
  </si>
  <si>
    <t>54713</t>
  </si>
  <si>
    <t>31310</t>
  </si>
  <si>
    <t>31418</t>
  </si>
  <si>
    <t>300488</t>
  </si>
  <si>
    <t>06141909001034</t>
  </si>
  <si>
    <t>54703</t>
  </si>
  <si>
    <t>31065</t>
  </si>
  <si>
    <t>26507</t>
  </si>
  <si>
    <t>14152005551010</t>
  </si>
  <si>
    <t>259943</t>
  </si>
  <si>
    <t>8111</t>
  </si>
  <si>
    <t>06140102021043</t>
  </si>
  <si>
    <t>55906</t>
  </si>
  <si>
    <t>55759</t>
  </si>
  <si>
    <t>204509</t>
  </si>
  <si>
    <t>1705</t>
  </si>
  <si>
    <t>56569</t>
  </si>
  <si>
    <t>1605</t>
  </si>
  <si>
    <t>56415</t>
  </si>
  <si>
    <t>1805</t>
  </si>
  <si>
    <t>56750</t>
  </si>
  <si>
    <t>56886</t>
  </si>
  <si>
    <t>58095</t>
  </si>
  <si>
    <t>3105</t>
  </si>
  <si>
    <t>17714</t>
  </si>
  <si>
    <t>06143006991022</t>
  </si>
  <si>
    <t>25863</t>
  </si>
  <si>
    <t>58818</t>
  </si>
  <si>
    <t>58173</t>
  </si>
  <si>
    <t>31312</t>
  </si>
  <si>
    <t>207834</t>
  </si>
  <si>
    <t>2805</t>
  </si>
  <si>
    <t>1372</t>
  </si>
  <si>
    <t>06141310881010</t>
  </si>
  <si>
    <t>8715</t>
  </si>
  <si>
    <t>94935</t>
  </si>
  <si>
    <t>46355</t>
  </si>
  <si>
    <t>1021783</t>
  </si>
  <si>
    <t>2018362</t>
  </si>
  <si>
    <t>2498</t>
  </si>
  <si>
    <t>90630</t>
  </si>
  <si>
    <t>13211</t>
  </si>
  <si>
    <t>06141404161045</t>
  </si>
  <si>
    <t>166052</t>
  </si>
  <si>
    <t>1610</t>
  </si>
  <si>
    <t>06140302981017</t>
  </si>
  <si>
    <t>258031</t>
  </si>
  <si>
    <t>06143001780012</t>
  </si>
  <si>
    <t>98825</t>
  </si>
  <si>
    <t>9365442</t>
  </si>
  <si>
    <t>06143107620016</t>
  </si>
  <si>
    <t>0905</t>
  </si>
  <si>
    <t>18345</t>
  </si>
  <si>
    <t>1358</t>
  </si>
  <si>
    <t>0705</t>
  </si>
  <si>
    <t>1268</t>
  </si>
  <si>
    <t>165282</t>
  </si>
  <si>
    <t>1079141</t>
  </si>
  <si>
    <t>924977</t>
  </si>
  <si>
    <t>90517</t>
  </si>
  <si>
    <t>1202</t>
  </si>
  <si>
    <t>165292</t>
  </si>
  <si>
    <t>26632</t>
  </si>
  <si>
    <t>806</t>
  </si>
  <si>
    <t>19752</t>
  </si>
  <si>
    <t>06141604071016</t>
  </si>
  <si>
    <t>3360</t>
  </si>
  <si>
    <t>06140103750012</t>
  </si>
  <si>
    <t>44882</t>
  </si>
  <si>
    <t>165230</t>
  </si>
  <si>
    <t>635315</t>
  </si>
  <si>
    <t>16949</t>
  </si>
  <si>
    <t>15263</t>
  </si>
  <si>
    <t>06142201071012</t>
  </si>
  <si>
    <t>930004</t>
  </si>
  <si>
    <t>2044957</t>
  </si>
  <si>
    <t>90540</t>
  </si>
  <si>
    <t>2044778</t>
  </si>
  <si>
    <t>8595</t>
  </si>
  <si>
    <t>149</t>
  </si>
  <si>
    <t>06141507131039</t>
  </si>
  <si>
    <t>151</t>
  </si>
  <si>
    <t>930205</t>
  </si>
  <si>
    <t>460</t>
  </si>
  <si>
    <t>06140703530140</t>
  </si>
  <si>
    <t>89596</t>
  </si>
  <si>
    <t>06140106710037</t>
  </si>
  <si>
    <t>457</t>
  </si>
  <si>
    <t>45800</t>
  </si>
  <si>
    <t>45946</t>
  </si>
  <si>
    <t>71</t>
  </si>
  <si>
    <t>14041507881018</t>
  </si>
  <si>
    <t>1865</t>
  </si>
  <si>
    <t>2016</t>
  </si>
  <si>
    <t>249</t>
  </si>
  <si>
    <t>06141501101073</t>
  </si>
  <si>
    <t>30854</t>
  </si>
  <si>
    <t>30852</t>
  </si>
  <si>
    <t>2029467</t>
  </si>
  <si>
    <t>2028957</t>
  </si>
  <si>
    <t>JUNIO</t>
  </si>
  <si>
    <t>0706</t>
  </si>
  <si>
    <t>99526</t>
  </si>
  <si>
    <t>1806</t>
  </si>
  <si>
    <t>100345</t>
  </si>
  <si>
    <t>100404</t>
  </si>
  <si>
    <t>100405</t>
  </si>
  <si>
    <t>2206</t>
  </si>
  <si>
    <t>100610</t>
  </si>
  <si>
    <t>2306</t>
  </si>
  <si>
    <t>100700</t>
  </si>
  <si>
    <t>2406</t>
  </si>
  <si>
    <t>100790</t>
  </si>
  <si>
    <t>100815</t>
  </si>
  <si>
    <t>1406</t>
  </si>
  <si>
    <t>100075</t>
  </si>
  <si>
    <t>100074</t>
  </si>
  <si>
    <t>100073</t>
  </si>
  <si>
    <t>100071</t>
  </si>
  <si>
    <t>100115</t>
  </si>
  <si>
    <t>100117</t>
  </si>
  <si>
    <t>1306</t>
  </si>
  <si>
    <t>100019</t>
  </si>
  <si>
    <t>100018</t>
  </si>
  <si>
    <t>1206</t>
  </si>
  <si>
    <t>99999</t>
  </si>
  <si>
    <t>1106</t>
  </si>
  <si>
    <t>99916</t>
  </si>
  <si>
    <t>99915</t>
  </si>
  <si>
    <t>99865</t>
  </si>
  <si>
    <t>1006</t>
  </si>
  <si>
    <t>99823</t>
  </si>
  <si>
    <t>99818</t>
  </si>
  <si>
    <t>100416</t>
  </si>
  <si>
    <t>1706</t>
  </si>
  <si>
    <t>100331</t>
  </si>
  <si>
    <t>1606</t>
  </si>
  <si>
    <t>100243</t>
  </si>
  <si>
    <t>100250</t>
  </si>
  <si>
    <t>1906</t>
  </si>
  <si>
    <t>100465</t>
  </si>
  <si>
    <t>99795</t>
  </si>
  <si>
    <t>99766</t>
  </si>
  <si>
    <t>99817</t>
  </si>
  <si>
    <t>99736</t>
  </si>
  <si>
    <t>0906</t>
  </si>
  <si>
    <t>0806</t>
  </si>
  <si>
    <t>99593</t>
  </si>
  <si>
    <t>99545</t>
  </si>
  <si>
    <t>99544</t>
  </si>
  <si>
    <t>100753</t>
  </si>
  <si>
    <t>2606</t>
  </si>
  <si>
    <t>100937</t>
  </si>
  <si>
    <t>2806</t>
  </si>
  <si>
    <t>101109</t>
  </si>
  <si>
    <t>101048</t>
  </si>
  <si>
    <t>101077</t>
  </si>
  <si>
    <t>0206</t>
  </si>
  <si>
    <t>99213</t>
  </si>
  <si>
    <t>0306</t>
  </si>
  <si>
    <t>99301</t>
  </si>
  <si>
    <t>0506</t>
  </si>
  <si>
    <t>99416</t>
  </si>
  <si>
    <t>0606</t>
  </si>
  <si>
    <t>99475</t>
  </si>
  <si>
    <t>99543</t>
  </si>
  <si>
    <t>99539</t>
  </si>
  <si>
    <t>99540</t>
  </si>
  <si>
    <t>99541</t>
  </si>
  <si>
    <t>99542</t>
  </si>
  <si>
    <t>100600</t>
  </si>
  <si>
    <t>99055</t>
  </si>
  <si>
    <t>0106</t>
  </si>
  <si>
    <t>99142</t>
  </si>
  <si>
    <t>99181</t>
  </si>
  <si>
    <t>99182</t>
  </si>
  <si>
    <t>99183</t>
  </si>
  <si>
    <t>100088</t>
  </si>
  <si>
    <t>99897</t>
  </si>
  <si>
    <t>100387</t>
  </si>
  <si>
    <t>98038</t>
  </si>
  <si>
    <t>98117</t>
  </si>
  <si>
    <t>98118</t>
  </si>
  <si>
    <t>98119</t>
  </si>
  <si>
    <t>98202</t>
  </si>
  <si>
    <t>98205</t>
  </si>
  <si>
    <t>98206</t>
  </si>
  <si>
    <t>98245</t>
  </si>
  <si>
    <t>98249</t>
  </si>
  <si>
    <t>98323</t>
  </si>
  <si>
    <t>100058</t>
  </si>
  <si>
    <t>100319</t>
  </si>
  <si>
    <t>98826</t>
  </si>
  <si>
    <t>99711</t>
  </si>
  <si>
    <t>99033</t>
  </si>
  <si>
    <t>98036</t>
  </si>
  <si>
    <t>97994</t>
  </si>
  <si>
    <t>97863</t>
  </si>
  <si>
    <t>97862</t>
  </si>
  <si>
    <t>100065</t>
  </si>
  <si>
    <t>100389</t>
  </si>
  <si>
    <t>3005</t>
  </si>
  <si>
    <t>98983</t>
  </si>
  <si>
    <t>98952</t>
  </si>
  <si>
    <t>98951</t>
  </si>
  <si>
    <t>98912</t>
  </si>
  <si>
    <t>98872</t>
  </si>
  <si>
    <t>98860</t>
  </si>
  <si>
    <t>98859</t>
  </si>
  <si>
    <t>98832</t>
  </si>
  <si>
    <t>98675</t>
  </si>
  <si>
    <t>98669</t>
  </si>
  <si>
    <t>99885</t>
  </si>
  <si>
    <t>98531</t>
  </si>
  <si>
    <t>98560</t>
  </si>
  <si>
    <t>98666</t>
  </si>
  <si>
    <t>98668</t>
  </si>
  <si>
    <t>98331</t>
  </si>
  <si>
    <t>98252</t>
  </si>
  <si>
    <t>99587</t>
  </si>
  <si>
    <t>99104</t>
  </si>
  <si>
    <t>99452</t>
  </si>
  <si>
    <t>0406</t>
  </si>
  <si>
    <t>99317</t>
  </si>
  <si>
    <t>99684</t>
  </si>
  <si>
    <t>99779</t>
  </si>
  <si>
    <t>99179</t>
  </si>
  <si>
    <t>98406</t>
  </si>
  <si>
    <t>98402</t>
  </si>
  <si>
    <t>98398</t>
  </si>
  <si>
    <t>98400</t>
  </si>
  <si>
    <t>98471</t>
  </si>
  <si>
    <t>98519</t>
  </si>
  <si>
    <t>100363</t>
  </si>
  <si>
    <t>2106</t>
  </si>
  <si>
    <t>117026</t>
  </si>
  <si>
    <t>98648</t>
  </si>
  <si>
    <t>99318</t>
  </si>
  <si>
    <t>32927</t>
  </si>
  <si>
    <t>33031</t>
  </si>
  <si>
    <t>26248</t>
  </si>
  <si>
    <t>60649</t>
  </si>
  <si>
    <t>27106</t>
  </si>
  <si>
    <t>59605</t>
  </si>
  <si>
    <t>5864</t>
  </si>
  <si>
    <t>06140301081039</t>
  </si>
  <si>
    <t>26673</t>
  </si>
  <si>
    <t>60380</t>
  </si>
  <si>
    <t>59055</t>
  </si>
  <si>
    <t>59050</t>
  </si>
  <si>
    <t>61680</t>
  </si>
  <si>
    <t>2506</t>
  </si>
  <si>
    <t>33998</t>
  </si>
  <si>
    <t>27525</t>
  </si>
  <si>
    <t>60023</t>
  </si>
  <si>
    <t>2706</t>
  </si>
  <si>
    <t>222793</t>
  </si>
  <si>
    <t>7657</t>
  </si>
  <si>
    <t>06140210081052</t>
  </si>
  <si>
    <t>1042</t>
  </si>
  <si>
    <t>1625</t>
  </si>
  <si>
    <t>94970</t>
  </si>
  <si>
    <t>8841</t>
  </si>
  <si>
    <t>418</t>
  </si>
  <si>
    <t>06141208131022</t>
  </si>
  <si>
    <t>208</t>
  </si>
  <si>
    <t>06143011931011</t>
  </si>
  <si>
    <t>3077</t>
  </si>
  <si>
    <t>217614</t>
  </si>
  <si>
    <t>95910</t>
  </si>
  <si>
    <t>308470</t>
  </si>
  <si>
    <t>236</t>
  </si>
  <si>
    <t>06140106131048</t>
  </si>
  <si>
    <t>18761</t>
  </si>
  <si>
    <t>48172</t>
  </si>
  <si>
    <t>1270416</t>
  </si>
  <si>
    <t>3104</t>
  </si>
  <si>
    <t>48506</t>
  </si>
  <si>
    <t>9275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</si>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</sst>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0" fontId="0" fillId="0" borderId="2" xfId="0" applyBorder="1"/>
    <xf numFmtId="49" fontId="0" fillId="0" borderId="2" xfId="0" applyNumberFormat="1" applyBorder="1"/>
    <xf numFmtId="0" fontId="0" fillId="0" borderId="2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49" fontId="3" fillId="0" borderId="0" xfId="0" applyNumberFormat="1" applyFont="1"/>
    <xf numFmtId="49" fontId="3" fillId="2" borderId="0" xfId="0" applyNumberFormat="1" applyFont="1" applyFill="1"/>
    <xf numFmtId="49" fontId="3" fillId="0" borderId="1" xfId="0" applyNumberFormat="1" applyFont="1" applyFill="1" applyBorder="1" applyAlignment="1">
      <alignment horizontal="center"/>
    </xf>
    <xf numFmtId="0" fontId="0" fillId="0" borderId="2" xfId="0" applyNumberFormat="1" applyFill="1" applyBorder="1"/>
    <xf numFmtId="49" fontId="0" fillId="0" borderId="2" xfId="0" applyNumberFormat="1" applyFill="1" applyBorder="1"/>
    <xf numFmtId="0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49" fontId="0" fillId="3" borderId="2" xfId="0" applyNumberFormat="1" applyFill="1" applyBorder="1"/>
    <xf numFmtId="49" fontId="0" fillId="3" borderId="0" xfId="0" applyNumberFormat="1" applyFill="1"/>
    <xf numFmtId="0" fontId="0" fillId="3" borderId="0" xfId="0" applyNumberFormat="1" applyFill="1"/>
    <xf numFmtId="49" fontId="3" fillId="3" borderId="0" xfId="0" applyNumberFormat="1" applyFont="1" applyFill="1" applyAlignment="1">
      <alignment horizontal="center"/>
    </xf>
    <xf numFmtId="0" fontId="4" fillId="0" borderId="2" xfId="0" applyNumberFormat="1" applyFont="1" applyFill="1" applyBorder="1"/>
    <xf numFmtId="0" fontId="0" fillId="0" borderId="2" xfId="0" applyNumberFormat="1" applyBorder="1"/>
    <xf numFmtId="0" fontId="0" fillId="0" borderId="2" xfId="0" applyNumberFormat="1" applyFont="1" applyFill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2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25</xdr:col>
      <xdr:colOff>590550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4287500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pa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</sheetNames>
    <sheetDataSet>
      <sheetData sheetId="0" refreshError="1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RORCELI CONSULTORES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601"/>
  <sheetViews>
    <sheetView showGridLines="0" tabSelected="1" zoomScaleNormal="100" workbookViewId="0">
      <pane xSplit="1" ySplit="1" topLeftCell="B450" activePane="bottomRight" state="frozen"/>
      <selection pane="topRight" activeCell="B1" sqref="B1"/>
      <selection pane="bottomLeft" activeCell="A2" sqref="A2"/>
      <selection pane="bottomRight" activeCell="B469" sqref="B469"/>
    </sheetView>
  </sheetViews>
  <sheetFormatPr baseColWidth="10" defaultColWidth="11.5703125" defaultRowHeight="15" x14ac:dyDescent="0.25"/>
  <cols>
    <col min="1" max="1" width="7.5703125" style="5" bestFit="1" customWidth="1"/>
    <col min="2" max="2" width="4.42578125" style="18" customWidth="1"/>
    <col min="3" max="3" width="5.140625" style="19" hidden="1" customWidth="1"/>
    <col min="4" max="4" width="7.5703125" style="20" hidden="1" customWidth="1"/>
    <col min="5" max="6" width="7.5703125" style="19" hidden="1" customWidth="1"/>
    <col min="7" max="7" width="11.5703125" style="5"/>
    <col min="8" max="9" width="11.5703125" style="19" hidden="1" customWidth="1"/>
    <col min="10" max="10" width="11.5703125" style="5"/>
    <col min="11" max="11" width="15" style="5" bestFit="1" customWidth="1"/>
    <col min="12" max="12" width="49.28515625" style="22" bestFit="1" customWidth="1"/>
    <col min="13" max="13" width="11.5703125" style="25"/>
    <col min="14" max="15" width="11.5703125" style="5" hidden="1" customWidth="1"/>
    <col min="16" max="16" width="11.5703125" style="23"/>
    <col min="17" max="17" width="11.5703125" style="5" hidden="1" customWidth="1"/>
    <col min="18" max="19" width="11.5703125" style="18" hidden="1" customWidth="1"/>
    <col min="20" max="20" width="0" style="13" hidden="1" customWidth="1"/>
    <col min="21" max="21" width="11.5703125" style="12"/>
    <col min="22" max="22" width="11.5703125" style="19"/>
    <col min="23" max="23" width="11.5703125" style="1"/>
    <col min="24" max="24" width="11.5703125" style="2"/>
    <col min="25" max="16384" width="11.5703125" style="1"/>
  </cols>
  <sheetData>
    <row r="1" spans="1:24" s="9" customFormat="1" ht="23.25" customHeight="1" x14ac:dyDescent="0.25">
      <c r="A1" s="7" t="s">
        <v>20</v>
      </c>
      <c r="B1" s="15"/>
      <c r="C1" s="16" t="s">
        <v>23</v>
      </c>
      <c r="D1" s="17"/>
      <c r="E1" s="15"/>
      <c r="F1" s="15"/>
      <c r="G1" s="7" t="s">
        <v>4</v>
      </c>
      <c r="H1" s="15" t="s">
        <v>5</v>
      </c>
      <c r="I1" s="15" t="s">
        <v>6</v>
      </c>
      <c r="J1" s="7" t="s">
        <v>7</v>
      </c>
      <c r="K1" s="7" t="s">
        <v>8</v>
      </c>
      <c r="L1" s="14" t="s">
        <v>9</v>
      </c>
      <c r="M1" s="27" t="s">
        <v>10</v>
      </c>
      <c r="N1" s="7" t="s">
        <v>11</v>
      </c>
      <c r="O1" s="7" t="s">
        <v>12</v>
      </c>
      <c r="P1" s="8" t="s">
        <v>13</v>
      </c>
      <c r="Q1" s="7" t="s">
        <v>14</v>
      </c>
      <c r="R1" s="15" t="s">
        <v>16</v>
      </c>
      <c r="S1" s="15" t="s">
        <v>15</v>
      </c>
      <c r="T1" s="11" t="s">
        <v>17</v>
      </c>
      <c r="U1" s="14" t="s">
        <v>18</v>
      </c>
      <c r="V1" s="21" t="s">
        <v>19</v>
      </c>
      <c r="X1" s="10" t="s">
        <v>17</v>
      </c>
    </row>
    <row r="2" spans="1:24" hidden="1" x14ac:dyDescent="0.25">
      <c r="A2" s="5" t="s">
        <v>25</v>
      </c>
      <c r="B2" s="18" t="s">
        <v>204</v>
      </c>
      <c r="C2" s="20" t="str">
        <f>+LEFT(B2,2)</f>
        <v>19</v>
      </c>
      <c r="D2" s="20" t="str">
        <f>+RIGHT(B2,2)</f>
        <v>02</v>
      </c>
      <c r="E2" s="19" t="s">
        <v>21</v>
      </c>
      <c r="F2" s="19" t="s">
        <v>22</v>
      </c>
      <c r="G2" s="4" t="str">
        <f t="shared" ref="G2:G33" si="0">+C2&amp;F2&amp;D2&amp;F2&amp;E2</f>
        <v>19/02/2021</v>
      </c>
      <c r="H2" s="19" t="s">
        <v>1</v>
      </c>
      <c r="I2" s="19" t="s">
        <v>0</v>
      </c>
      <c r="J2" s="5" t="s">
        <v>205</v>
      </c>
      <c r="K2" s="5" t="s">
        <v>192</v>
      </c>
      <c r="L2" s="22" t="str">
        <f>+VLOOKUP(K2,'[1]BASE DE PROVEEDORES'!$A:$B,2,0)</f>
        <v>REPUESTOS NOE S.A DE C.V.</v>
      </c>
      <c r="M2" s="25">
        <v>0</v>
      </c>
      <c r="N2" s="5" t="s">
        <v>2</v>
      </c>
      <c r="O2" s="5" t="s">
        <v>2</v>
      </c>
      <c r="P2" s="6">
        <v>364.6</v>
      </c>
      <c r="Q2" s="5" t="s">
        <v>2</v>
      </c>
      <c r="R2" s="18" t="s">
        <v>2</v>
      </c>
      <c r="S2" s="18" t="s">
        <v>2</v>
      </c>
      <c r="T2" s="12">
        <v>47.4</v>
      </c>
      <c r="U2" s="13">
        <f t="shared" ref="U2:U33" si="1">+M2+P2+T2</f>
        <v>412</v>
      </c>
      <c r="V2" s="19" t="s">
        <v>3</v>
      </c>
      <c r="X2" s="3">
        <f>+ROUND(T2,2)</f>
        <v>47.4</v>
      </c>
    </row>
    <row r="3" spans="1:24" hidden="1" x14ac:dyDescent="0.25">
      <c r="A3" s="5" t="s">
        <v>25</v>
      </c>
      <c r="B3" s="18" t="s">
        <v>206</v>
      </c>
      <c r="C3" s="20" t="str">
        <f>+LEFT(B3,2)</f>
        <v>24</v>
      </c>
      <c r="D3" s="20" t="str">
        <f>+RIGHT(B3,2)</f>
        <v>02</v>
      </c>
      <c r="E3" s="19" t="s">
        <v>21</v>
      </c>
      <c r="F3" s="19" t="s">
        <v>22</v>
      </c>
      <c r="G3" s="4" t="str">
        <f t="shared" si="0"/>
        <v>24/02/2021</v>
      </c>
      <c r="H3" s="19" t="s">
        <v>1</v>
      </c>
      <c r="I3" s="19" t="s">
        <v>0</v>
      </c>
      <c r="J3" s="5" t="s">
        <v>207</v>
      </c>
      <c r="K3" s="5" t="s">
        <v>192</v>
      </c>
      <c r="L3" s="22" t="str">
        <f>+VLOOKUP(K3,'[1]BASE DE PROVEEDORES'!$A:$B,2,0)</f>
        <v>REPUESTOS NOE S.A DE C.V.</v>
      </c>
      <c r="M3" s="25">
        <v>0</v>
      </c>
      <c r="N3" s="5" t="s">
        <v>2</v>
      </c>
      <c r="O3" s="5" t="s">
        <v>2</v>
      </c>
      <c r="P3" s="6">
        <v>130</v>
      </c>
      <c r="Q3" s="5" t="s">
        <v>2</v>
      </c>
      <c r="R3" s="18" t="s">
        <v>2</v>
      </c>
      <c r="S3" s="18" t="s">
        <v>2</v>
      </c>
      <c r="T3" s="12">
        <v>16.899999999999999</v>
      </c>
      <c r="U3" s="13">
        <f t="shared" si="1"/>
        <v>146.9</v>
      </c>
      <c r="V3" s="19" t="s">
        <v>3</v>
      </c>
      <c r="X3" s="3">
        <f t="shared" ref="X3:X66" si="2">+ROUND(T3,2)</f>
        <v>16.899999999999999</v>
      </c>
    </row>
    <row r="4" spans="1:24" hidden="1" x14ac:dyDescent="0.25">
      <c r="A4" s="5" t="s">
        <v>25</v>
      </c>
      <c r="B4" s="18" t="s">
        <v>162</v>
      </c>
      <c r="C4" s="20" t="str">
        <f>+LEFT(B4,2)</f>
        <v>10</v>
      </c>
      <c r="D4" s="20" t="str">
        <f>+RIGHT(B4,2)</f>
        <v>03</v>
      </c>
      <c r="E4" s="19" t="s">
        <v>21</v>
      </c>
      <c r="F4" s="19" t="s">
        <v>22</v>
      </c>
      <c r="G4" s="4" t="str">
        <f t="shared" si="0"/>
        <v>10/03/2021</v>
      </c>
      <c r="H4" s="19" t="s">
        <v>1</v>
      </c>
      <c r="I4" s="19" t="s">
        <v>0</v>
      </c>
      <c r="J4" s="5" t="s">
        <v>163</v>
      </c>
      <c r="K4" s="5" t="s">
        <v>164</v>
      </c>
      <c r="L4" s="22" t="str">
        <f>+VLOOKUP(K4,'[1]BASE DE PROVEEDORES'!$A:$B,2,0)</f>
        <v>TRANPORTES PESADOS S.A DE C.V.</v>
      </c>
      <c r="M4" s="25">
        <v>0</v>
      </c>
      <c r="N4" s="5" t="s">
        <v>2</v>
      </c>
      <c r="O4" s="5" t="s">
        <v>2</v>
      </c>
      <c r="P4" s="6">
        <v>6.8</v>
      </c>
      <c r="Q4" s="5" t="s">
        <v>2</v>
      </c>
      <c r="R4" s="18" t="s">
        <v>2</v>
      </c>
      <c r="S4" s="18" t="s">
        <v>2</v>
      </c>
      <c r="T4" s="12">
        <v>0.88</v>
      </c>
      <c r="U4" s="13">
        <f t="shared" si="1"/>
        <v>7.68</v>
      </c>
      <c r="V4" s="19" t="s">
        <v>3</v>
      </c>
      <c r="X4" s="3">
        <f t="shared" si="2"/>
        <v>0.88</v>
      </c>
    </row>
    <row r="5" spans="1:24" hidden="1" x14ac:dyDescent="0.25">
      <c r="A5" s="5" t="s">
        <v>25</v>
      </c>
      <c r="B5" s="18" t="s">
        <v>194</v>
      </c>
      <c r="C5" s="20" t="str">
        <f>+LEFT(B5,2)</f>
        <v>12</v>
      </c>
      <c r="D5" s="20" t="str">
        <f>+RIGHT(B5,2)</f>
        <v>03</v>
      </c>
      <c r="E5" s="19" t="s">
        <v>21</v>
      </c>
      <c r="F5" s="19" t="s">
        <v>22</v>
      </c>
      <c r="G5" s="4" t="str">
        <f t="shared" si="0"/>
        <v>12/03/2021</v>
      </c>
      <c r="H5" s="19" t="s">
        <v>1</v>
      </c>
      <c r="I5" s="19" t="s">
        <v>0</v>
      </c>
      <c r="J5" s="5" t="s">
        <v>195</v>
      </c>
      <c r="K5" s="5" t="s">
        <v>196</v>
      </c>
      <c r="L5" s="22" t="str">
        <f>+VLOOKUP(K5,'[1]BASE DE PROVEEDORES'!$A:$B,2,0)</f>
        <v>TELEMOVIL EL SALVADOR S.A DE C.V.</v>
      </c>
      <c r="M5" s="25">
        <v>0</v>
      </c>
      <c r="N5" s="5" t="s">
        <v>2</v>
      </c>
      <c r="O5" s="5" t="s">
        <v>2</v>
      </c>
      <c r="P5" s="6">
        <v>111.61</v>
      </c>
      <c r="Q5" s="5" t="s">
        <v>2</v>
      </c>
      <c r="R5" s="18" t="s">
        <v>2</v>
      </c>
      <c r="S5" s="18" t="s">
        <v>2</v>
      </c>
      <c r="T5" s="12">
        <v>14.51</v>
      </c>
      <c r="U5" s="13">
        <f t="shared" si="1"/>
        <v>126.12</v>
      </c>
      <c r="V5" s="19" t="s">
        <v>3</v>
      </c>
      <c r="X5" s="3">
        <f t="shared" si="2"/>
        <v>14.51</v>
      </c>
    </row>
    <row r="6" spans="1:24" hidden="1" x14ac:dyDescent="0.25">
      <c r="A6" s="5" t="s">
        <v>25</v>
      </c>
      <c r="C6" s="19" t="s">
        <v>87</v>
      </c>
      <c r="D6" s="20" t="s">
        <v>0</v>
      </c>
      <c r="E6" s="19" t="s">
        <v>21</v>
      </c>
      <c r="F6" s="19" t="s">
        <v>22</v>
      </c>
      <c r="G6" s="4" t="str">
        <f t="shared" si="0"/>
        <v>17/03/2021</v>
      </c>
      <c r="H6" s="19" t="s">
        <v>1</v>
      </c>
      <c r="I6" s="19" t="s">
        <v>0</v>
      </c>
      <c r="J6" s="5" t="s">
        <v>88</v>
      </c>
      <c r="K6" s="5" t="s">
        <v>55</v>
      </c>
      <c r="L6" s="22" t="str">
        <f>+VLOOKUP(K6,'[1]BASE DE PROVEEDORES'!$A:$B,2,0)</f>
        <v xml:space="preserve">DISTRIBUIDORA DE LUBRICANTES Y COMBUSTIBLES S.A DE C.V </v>
      </c>
      <c r="M6" s="25">
        <f>26.4+13.2</f>
        <v>39.599999999999994</v>
      </c>
      <c r="N6" s="5" t="s">
        <v>2</v>
      </c>
      <c r="O6" s="5" t="s">
        <v>2</v>
      </c>
      <c r="P6" s="6">
        <v>292.04000000000002</v>
      </c>
      <c r="Q6" s="5" t="s">
        <v>2</v>
      </c>
      <c r="R6" s="18" t="s">
        <v>2</v>
      </c>
      <c r="S6" s="18" t="s">
        <v>2</v>
      </c>
      <c r="T6" s="12">
        <v>37.97</v>
      </c>
      <c r="U6" s="13">
        <f t="shared" si="1"/>
        <v>369.61</v>
      </c>
      <c r="V6" s="19" t="s">
        <v>3</v>
      </c>
      <c r="X6" s="3">
        <f t="shared" si="2"/>
        <v>37.97</v>
      </c>
    </row>
    <row r="7" spans="1:24" hidden="1" x14ac:dyDescent="0.25">
      <c r="A7" s="5" t="s">
        <v>25</v>
      </c>
      <c r="C7" s="19" t="s">
        <v>30</v>
      </c>
      <c r="D7" s="20" t="s">
        <v>0</v>
      </c>
      <c r="E7" s="19" t="s">
        <v>21</v>
      </c>
      <c r="F7" s="19" t="s">
        <v>22</v>
      </c>
      <c r="G7" s="4" t="str">
        <f t="shared" si="0"/>
        <v>18/03/2021</v>
      </c>
      <c r="H7" s="19" t="s">
        <v>1</v>
      </c>
      <c r="I7" s="19" t="s">
        <v>0</v>
      </c>
      <c r="J7" s="5" t="s">
        <v>86</v>
      </c>
      <c r="K7" s="5" t="s">
        <v>55</v>
      </c>
      <c r="L7" s="22" t="str">
        <f>+VLOOKUP(K7,'[1]BASE DE PROVEEDORES'!$A:$B,2,0)</f>
        <v xml:space="preserve">DISTRIBUIDORA DE LUBRICANTES Y COMBUSTIBLES S.A DE C.V </v>
      </c>
      <c r="M7" s="25">
        <f>11.08+5.54</f>
        <v>16.62</v>
      </c>
      <c r="N7" s="5" t="s">
        <v>2</v>
      </c>
      <c r="O7" s="5" t="s">
        <v>2</v>
      </c>
      <c r="P7" s="6">
        <v>122.53</v>
      </c>
      <c r="Q7" s="5" t="s">
        <v>2</v>
      </c>
      <c r="R7" s="18" t="s">
        <v>2</v>
      </c>
      <c r="S7" s="18" t="s">
        <v>2</v>
      </c>
      <c r="T7" s="12">
        <v>15.93</v>
      </c>
      <c r="U7" s="13">
        <f t="shared" si="1"/>
        <v>155.08000000000001</v>
      </c>
      <c r="V7" s="19" t="s">
        <v>3</v>
      </c>
      <c r="X7" s="3">
        <f t="shared" si="2"/>
        <v>15.93</v>
      </c>
    </row>
    <row r="8" spans="1:24" hidden="1" x14ac:dyDescent="0.25">
      <c r="A8" s="5" t="s">
        <v>25</v>
      </c>
      <c r="B8" s="18" t="s">
        <v>211</v>
      </c>
      <c r="C8" s="20" t="str">
        <f>+LEFT(B8,2)</f>
        <v>18</v>
      </c>
      <c r="D8" s="20" t="str">
        <f>+RIGHT(B8,2)</f>
        <v>03</v>
      </c>
      <c r="E8" s="19" t="s">
        <v>21</v>
      </c>
      <c r="F8" s="19" t="s">
        <v>22</v>
      </c>
      <c r="G8" s="4" t="str">
        <f t="shared" si="0"/>
        <v>18/03/2021</v>
      </c>
      <c r="H8" s="19" t="s">
        <v>1</v>
      </c>
      <c r="I8" s="19" t="s">
        <v>0</v>
      </c>
      <c r="J8" s="5" t="s">
        <v>212</v>
      </c>
      <c r="K8" s="5" t="s">
        <v>213</v>
      </c>
      <c r="L8" s="22" t="str">
        <f>+VLOOKUP(K8,'[1]BASE DE PROVEEDORES'!$A:$B,2,0)</f>
        <v>MYERS DE EL SALVADOR S.A DE C.V.</v>
      </c>
      <c r="M8" s="25">
        <v>0</v>
      </c>
      <c r="N8" s="5" t="s">
        <v>2</v>
      </c>
      <c r="O8" s="5" t="s">
        <v>2</v>
      </c>
      <c r="P8" s="6">
        <v>6.63</v>
      </c>
      <c r="Q8" s="5" t="s">
        <v>2</v>
      </c>
      <c r="R8" s="18" t="s">
        <v>2</v>
      </c>
      <c r="S8" s="18" t="s">
        <v>2</v>
      </c>
      <c r="T8" s="12">
        <v>0.86</v>
      </c>
      <c r="U8" s="13">
        <f t="shared" si="1"/>
        <v>7.49</v>
      </c>
      <c r="V8" s="19" t="s">
        <v>3</v>
      </c>
      <c r="X8" s="3">
        <f t="shared" si="2"/>
        <v>0.86</v>
      </c>
    </row>
    <row r="9" spans="1:24" hidden="1" x14ac:dyDescent="0.25">
      <c r="A9" s="5" t="s">
        <v>25</v>
      </c>
      <c r="B9" s="18" t="s">
        <v>211</v>
      </c>
      <c r="C9" s="20" t="str">
        <f>+LEFT(B9,2)</f>
        <v>18</v>
      </c>
      <c r="D9" s="20" t="str">
        <f>+RIGHT(B9,2)</f>
        <v>03</v>
      </c>
      <c r="E9" s="19" t="s">
        <v>21</v>
      </c>
      <c r="F9" s="19" t="s">
        <v>22</v>
      </c>
      <c r="G9" s="4" t="str">
        <f t="shared" si="0"/>
        <v>18/03/2021</v>
      </c>
      <c r="H9" s="19" t="s">
        <v>1</v>
      </c>
      <c r="I9" s="19" t="s">
        <v>0</v>
      </c>
      <c r="J9" s="5" t="s">
        <v>214</v>
      </c>
      <c r="K9" s="5" t="s">
        <v>213</v>
      </c>
      <c r="L9" s="22" t="str">
        <f>+VLOOKUP(K9,'[1]BASE DE PROVEEDORES'!$A:$B,2,0)</f>
        <v>MYERS DE EL SALVADOR S.A DE C.V.</v>
      </c>
      <c r="M9" s="25">
        <v>0</v>
      </c>
      <c r="N9" s="5" t="s">
        <v>2</v>
      </c>
      <c r="O9" s="5" t="s">
        <v>2</v>
      </c>
      <c r="P9" s="6">
        <v>29.11</v>
      </c>
      <c r="Q9" s="5" t="s">
        <v>2</v>
      </c>
      <c r="R9" s="18" t="s">
        <v>2</v>
      </c>
      <c r="S9" s="18" t="s">
        <v>2</v>
      </c>
      <c r="T9" s="12">
        <v>3.78</v>
      </c>
      <c r="U9" s="13">
        <f t="shared" si="1"/>
        <v>32.89</v>
      </c>
      <c r="V9" s="19" t="s">
        <v>3</v>
      </c>
      <c r="X9" s="3">
        <f t="shared" si="2"/>
        <v>3.78</v>
      </c>
    </row>
    <row r="10" spans="1:24" hidden="1" x14ac:dyDescent="0.25">
      <c r="A10" s="5" t="s">
        <v>25</v>
      </c>
      <c r="C10" s="19" t="s">
        <v>58</v>
      </c>
      <c r="D10" s="20" t="s">
        <v>0</v>
      </c>
      <c r="E10" s="19" t="s">
        <v>21</v>
      </c>
      <c r="F10" s="19" t="s">
        <v>22</v>
      </c>
      <c r="G10" s="4" t="str">
        <f t="shared" si="0"/>
        <v>19/03/2021</v>
      </c>
      <c r="H10" s="19" t="s">
        <v>1</v>
      </c>
      <c r="I10" s="19" t="s">
        <v>0</v>
      </c>
      <c r="J10" s="5" t="s">
        <v>59</v>
      </c>
      <c r="K10" s="5" t="s">
        <v>55</v>
      </c>
      <c r="L10" s="22" t="str">
        <f>+VLOOKUP(K10,'[1]BASE DE PROVEEDORES'!$A:$B,2,0)</f>
        <v xml:space="preserve">DISTRIBUIDORA DE LUBRICANTES Y COMBUSTIBLES S.A DE C.V </v>
      </c>
      <c r="M10" s="25">
        <f>3.26+1.63</f>
        <v>4.8899999999999997</v>
      </c>
      <c r="N10" s="5" t="s">
        <v>2</v>
      </c>
      <c r="O10" s="5" t="s">
        <v>2</v>
      </c>
      <c r="P10" s="6">
        <v>35.51</v>
      </c>
      <c r="Q10" s="5" t="s">
        <v>2</v>
      </c>
      <c r="R10" s="18" t="s">
        <v>2</v>
      </c>
      <c r="S10" s="18" t="s">
        <v>2</v>
      </c>
      <c r="T10" s="12">
        <v>4.62</v>
      </c>
      <c r="U10" s="13">
        <f t="shared" si="1"/>
        <v>45.019999999999996</v>
      </c>
      <c r="V10" s="19" t="s">
        <v>3</v>
      </c>
      <c r="X10" s="3">
        <f t="shared" si="2"/>
        <v>4.62</v>
      </c>
    </row>
    <row r="11" spans="1:24" hidden="1" x14ac:dyDescent="0.25">
      <c r="A11" s="5" t="s">
        <v>25</v>
      </c>
      <c r="C11" s="19" t="s">
        <v>58</v>
      </c>
      <c r="D11" s="20" t="s">
        <v>0</v>
      </c>
      <c r="E11" s="19" t="s">
        <v>21</v>
      </c>
      <c r="F11" s="19" t="s">
        <v>22</v>
      </c>
      <c r="G11" s="4" t="str">
        <f t="shared" si="0"/>
        <v>19/03/2021</v>
      </c>
      <c r="H11" s="19" t="s">
        <v>1</v>
      </c>
      <c r="I11" s="19" t="s">
        <v>0</v>
      </c>
      <c r="J11" s="5" t="s">
        <v>60</v>
      </c>
      <c r="K11" s="5" t="s">
        <v>55</v>
      </c>
      <c r="L11" s="22" t="str">
        <f>+VLOOKUP(K11,'[1]BASE DE PROVEEDORES'!$A:$B,2,0)</f>
        <v xml:space="preserve">DISTRIBUIDORA DE LUBRICANTES Y COMBUSTIBLES S.A DE C.V </v>
      </c>
      <c r="M11" s="25">
        <f>9.11+4.55</f>
        <v>13.66</v>
      </c>
      <c r="N11" s="5" t="s">
        <v>2</v>
      </c>
      <c r="O11" s="5" t="s">
        <v>2</v>
      </c>
      <c r="P11" s="6">
        <v>99.17</v>
      </c>
      <c r="Q11" s="5" t="s">
        <v>2</v>
      </c>
      <c r="R11" s="18" t="s">
        <v>2</v>
      </c>
      <c r="S11" s="18" t="s">
        <v>2</v>
      </c>
      <c r="T11" s="12">
        <v>12.89</v>
      </c>
      <c r="U11" s="13">
        <f t="shared" si="1"/>
        <v>125.72</v>
      </c>
      <c r="V11" s="19" t="s">
        <v>3</v>
      </c>
      <c r="X11" s="3">
        <f t="shared" si="2"/>
        <v>12.89</v>
      </c>
    </row>
    <row r="12" spans="1:24" hidden="1" x14ac:dyDescent="0.25">
      <c r="A12" s="5" t="s">
        <v>25</v>
      </c>
      <c r="C12" s="19" t="s">
        <v>58</v>
      </c>
      <c r="D12" s="20" t="s">
        <v>0</v>
      </c>
      <c r="E12" s="19" t="s">
        <v>21</v>
      </c>
      <c r="F12" s="19" t="s">
        <v>22</v>
      </c>
      <c r="G12" s="4" t="str">
        <f t="shared" si="0"/>
        <v>19/03/2021</v>
      </c>
      <c r="H12" s="19" t="s">
        <v>1</v>
      </c>
      <c r="I12" s="19" t="s">
        <v>0</v>
      </c>
      <c r="J12" s="5" t="s">
        <v>61</v>
      </c>
      <c r="K12" s="5" t="s">
        <v>55</v>
      </c>
      <c r="L12" s="22" t="str">
        <f>+VLOOKUP(K12,'[1]BASE DE PROVEEDORES'!$A:$B,2,0)</f>
        <v xml:space="preserve">DISTRIBUIDORA DE LUBRICANTES Y COMBUSTIBLES S.A DE C.V </v>
      </c>
      <c r="M12" s="25">
        <f>14.2+7.1</f>
        <v>21.299999999999997</v>
      </c>
      <c r="N12" s="5" t="s">
        <v>2</v>
      </c>
      <c r="O12" s="5" t="s">
        <v>2</v>
      </c>
      <c r="P12" s="6">
        <v>154.66</v>
      </c>
      <c r="Q12" s="5" t="s">
        <v>2</v>
      </c>
      <c r="R12" s="18" t="s">
        <v>2</v>
      </c>
      <c r="S12" s="18" t="s">
        <v>2</v>
      </c>
      <c r="T12" s="12">
        <v>20.11</v>
      </c>
      <c r="U12" s="13">
        <f t="shared" si="1"/>
        <v>196.07</v>
      </c>
      <c r="V12" s="19" t="s">
        <v>3</v>
      </c>
      <c r="X12" s="3">
        <f t="shared" si="2"/>
        <v>20.11</v>
      </c>
    </row>
    <row r="13" spans="1:24" hidden="1" x14ac:dyDescent="0.25">
      <c r="A13" s="5" t="s">
        <v>25</v>
      </c>
      <c r="B13" s="18" t="s">
        <v>240</v>
      </c>
      <c r="C13" s="20" t="str">
        <f>+LEFT(B13,2)</f>
        <v>19</v>
      </c>
      <c r="D13" s="20" t="str">
        <f>+RIGHT(B13,2)</f>
        <v>03</v>
      </c>
      <c r="E13" s="19" t="s">
        <v>21</v>
      </c>
      <c r="F13" s="19" t="s">
        <v>22</v>
      </c>
      <c r="G13" s="4" t="str">
        <f t="shared" si="0"/>
        <v>19/03/2021</v>
      </c>
      <c r="H13" s="19" t="s">
        <v>1</v>
      </c>
      <c r="I13" s="19" t="s">
        <v>0</v>
      </c>
      <c r="J13" s="5" t="s">
        <v>241</v>
      </c>
      <c r="K13" s="5" t="s">
        <v>242</v>
      </c>
      <c r="L13" s="22" t="str">
        <f>+VLOOKUP(K13,'[1]BASE DE PROVEEDORES'!$A:$B,2,0)</f>
        <v>ALSI S.A DE C.V.</v>
      </c>
      <c r="M13" s="25">
        <v>0</v>
      </c>
      <c r="N13" s="5" t="s">
        <v>2</v>
      </c>
      <c r="O13" s="5" t="s">
        <v>2</v>
      </c>
      <c r="P13" s="6">
        <v>1113.27</v>
      </c>
      <c r="Q13" s="5" t="s">
        <v>2</v>
      </c>
      <c r="R13" s="18" t="s">
        <v>2</v>
      </c>
      <c r="S13" s="18" t="s">
        <v>2</v>
      </c>
      <c r="T13" s="12">
        <v>144.72999999999999</v>
      </c>
      <c r="U13" s="13">
        <f t="shared" si="1"/>
        <v>1258</v>
      </c>
      <c r="V13" s="19" t="s">
        <v>3</v>
      </c>
      <c r="X13" s="3">
        <f t="shared" si="2"/>
        <v>144.72999999999999</v>
      </c>
    </row>
    <row r="14" spans="1:24" hidden="1" x14ac:dyDescent="0.25">
      <c r="A14" s="5" t="s">
        <v>25</v>
      </c>
      <c r="C14" s="19" t="s">
        <v>35</v>
      </c>
      <c r="D14" s="20" t="s">
        <v>0</v>
      </c>
      <c r="E14" s="19" t="s">
        <v>21</v>
      </c>
      <c r="F14" s="19" t="s">
        <v>22</v>
      </c>
      <c r="G14" s="4" t="str">
        <f t="shared" si="0"/>
        <v>21/03/2021</v>
      </c>
      <c r="H14" s="19" t="s">
        <v>1</v>
      </c>
      <c r="I14" s="19" t="s">
        <v>0</v>
      </c>
      <c r="J14" s="5" t="s">
        <v>76</v>
      </c>
      <c r="K14" s="5" t="s">
        <v>55</v>
      </c>
      <c r="L14" s="22" t="str">
        <f>+VLOOKUP(K14,'[1]BASE DE PROVEEDORES'!$A:$B,2,0)</f>
        <v xml:space="preserve">DISTRIBUIDORA DE LUBRICANTES Y COMBUSTIBLES S.A DE C.V </v>
      </c>
      <c r="M14" s="25">
        <f>6.28+3.14</f>
        <v>9.42</v>
      </c>
      <c r="N14" s="5" t="s">
        <v>2</v>
      </c>
      <c r="O14" s="5" t="s">
        <v>2</v>
      </c>
      <c r="P14" s="6">
        <v>68.36</v>
      </c>
      <c r="Q14" s="5" t="s">
        <v>2</v>
      </c>
      <c r="R14" s="18" t="s">
        <v>2</v>
      </c>
      <c r="S14" s="18" t="s">
        <v>2</v>
      </c>
      <c r="T14" s="12">
        <v>8.89</v>
      </c>
      <c r="U14" s="13">
        <f t="shared" si="1"/>
        <v>86.67</v>
      </c>
      <c r="V14" s="19" t="s">
        <v>3</v>
      </c>
      <c r="X14" s="3">
        <f t="shared" si="2"/>
        <v>8.89</v>
      </c>
    </row>
    <row r="15" spans="1:24" hidden="1" x14ac:dyDescent="0.25">
      <c r="A15" s="5" t="s">
        <v>25</v>
      </c>
      <c r="C15" s="19" t="s">
        <v>35</v>
      </c>
      <c r="D15" s="20" t="s">
        <v>0</v>
      </c>
      <c r="E15" s="19" t="s">
        <v>21</v>
      </c>
      <c r="F15" s="19" t="s">
        <v>22</v>
      </c>
      <c r="G15" s="4" t="str">
        <f t="shared" si="0"/>
        <v>21/03/2021</v>
      </c>
      <c r="H15" s="19" t="s">
        <v>1</v>
      </c>
      <c r="I15" s="19" t="s">
        <v>0</v>
      </c>
      <c r="J15" s="5" t="s">
        <v>78</v>
      </c>
      <c r="K15" s="5" t="s">
        <v>55</v>
      </c>
      <c r="L15" s="22" t="str">
        <f>+VLOOKUP(K15,'[1]BASE DE PROVEEDORES'!$A:$B,2,0)</f>
        <v xml:space="preserve">DISTRIBUIDORA DE LUBRICANTES Y COMBUSTIBLES S.A DE C.V </v>
      </c>
      <c r="M15" s="25">
        <f>9.97+4.99</f>
        <v>14.96</v>
      </c>
      <c r="N15" s="5" t="s">
        <v>2</v>
      </c>
      <c r="O15" s="5" t="s">
        <v>2</v>
      </c>
      <c r="P15" s="6">
        <v>108.61</v>
      </c>
      <c r="Q15" s="5" t="s">
        <v>2</v>
      </c>
      <c r="R15" s="18" t="s">
        <v>2</v>
      </c>
      <c r="S15" s="18" t="s">
        <v>2</v>
      </c>
      <c r="T15" s="12">
        <v>14.12</v>
      </c>
      <c r="U15" s="13">
        <f t="shared" si="1"/>
        <v>137.69</v>
      </c>
      <c r="V15" s="19" t="s">
        <v>3</v>
      </c>
      <c r="X15" s="3">
        <f t="shared" si="2"/>
        <v>14.12</v>
      </c>
    </row>
    <row r="16" spans="1:24" hidden="1" x14ac:dyDescent="0.25">
      <c r="A16" s="5" t="s">
        <v>25</v>
      </c>
      <c r="C16" s="19" t="s">
        <v>46</v>
      </c>
      <c r="D16" s="20" t="s">
        <v>0</v>
      </c>
      <c r="E16" s="19" t="s">
        <v>21</v>
      </c>
      <c r="F16" s="19" t="s">
        <v>22</v>
      </c>
      <c r="G16" s="4" t="str">
        <f t="shared" si="0"/>
        <v>22/03/2021</v>
      </c>
      <c r="H16" s="19" t="s">
        <v>1</v>
      </c>
      <c r="I16" s="19" t="s">
        <v>0</v>
      </c>
      <c r="J16" s="5" t="s">
        <v>62</v>
      </c>
      <c r="K16" s="5" t="s">
        <v>55</v>
      </c>
      <c r="L16" s="22" t="str">
        <f>+VLOOKUP(K16,'[1]BASE DE PROVEEDORES'!$A:$B,2,0)</f>
        <v xml:space="preserve">DISTRIBUIDORA DE LUBRICANTES Y COMBUSTIBLES S.A DE C.V </v>
      </c>
      <c r="M16" s="25">
        <f>11.8+23.6</f>
        <v>35.400000000000006</v>
      </c>
      <c r="N16" s="5" t="s">
        <v>2</v>
      </c>
      <c r="O16" s="5" t="s">
        <v>2</v>
      </c>
      <c r="P16" s="6">
        <v>261.07</v>
      </c>
      <c r="Q16" s="5" t="s">
        <v>2</v>
      </c>
      <c r="R16" s="18" t="s">
        <v>2</v>
      </c>
      <c r="S16" s="18" t="s">
        <v>2</v>
      </c>
      <c r="T16" s="12">
        <v>33.94</v>
      </c>
      <c r="U16" s="13">
        <f t="shared" si="1"/>
        <v>330.41</v>
      </c>
      <c r="V16" s="19" t="s">
        <v>3</v>
      </c>
      <c r="X16" s="3">
        <f t="shared" si="2"/>
        <v>33.94</v>
      </c>
    </row>
    <row r="17" spans="1:24" hidden="1" x14ac:dyDescent="0.25">
      <c r="A17" s="5" t="s">
        <v>25</v>
      </c>
      <c r="C17" s="19" t="s">
        <v>46</v>
      </c>
      <c r="D17" s="20" t="s">
        <v>0</v>
      </c>
      <c r="E17" s="19" t="s">
        <v>21</v>
      </c>
      <c r="F17" s="19" t="s">
        <v>22</v>
      </c>
      <c r="G17" s="4" t="str">
        <f t="shared" si="0"/>
        <v>22/03/2021</v>
      </c>
      <c r="H17" s="19" t="s">
        <v>1</v>
      </c>
      <c r="I17" s="19" t="s">
        <v>0</v>
      </c>
      <c r="J17" s="5" t="s">
        <v>77</v>
      </c>
      <c r="K17" s="5" t="s">
        <v>55</v>
      </c>
      <c r="L17" s="22" t="str">
        <f>+VLOOKUP(K17,'[1]BASE DE PROVEEDORES'!$A:$B,2,0)</f>
        <v xml:space="preserve">DISTRIBUIDORA DE LUBRICANTES Y COMBUSTIBLES S.A DE C.V </v>
      </c>
      <c r="M17" s="25">
        <v>4.2</v>
      </c>
      <c r="N17" s="5" t="s">
        <v>2</v>
      </c>
      <c r="O17" s="5" t="s">
        <v>2</v>
      </c>
      <c r="P17" s="6">
        <v>30.93</v>
      </c>
      <c r="Q17" s="5" t="s">
        <v>2</v>
      </c>
      <c r="R17" s="18" t="s">
        <v>2</v>
      </c>
      <c r="S17" s="18" t="s">
        <v>2</v>
      </c>
      <c r="T17" s="12">
        <v>4.0199999999999996</v>
      </c>
      <c r="U17" s="13">
        <f t="shared" si="1"/>
        <v>39.150000000000006</v>
      </c>
      <c r="V17" s="19" t="s">
        <v>3</v>
      </c>
      <c r="X17" s="3">
        <f t="shared" si="2"/>
        <v>4.0199999999999996</v>
      </c>
    </row>
    <row r="18" spans="1:24" hidden="1" x14ac:dyDescent="0.25">
      <c r="A18" s="5" t="s">
        <v>25</v>
      </c>
      <c r="C18" s="19" t="s">
        <v>46</v>
      </c>
      <c r="D18" s="20" t="s">
        <v>0</v>
      </c>
      <c r="E18" s="19" t="s">
        <v>21</v>
      </c>
      <c r="F18" s="19" t="s">
        <v>22</v>
      </c>
      <c r="G18" s="4" t="str">
        <f t="shared" si="0"/>
        <v>22/03/2021</v>
      </c>
      <c r="H18" s="19" t="s">
        <v>1</v>
      </c>
      <c r="I18" s="19" t="s">
        <v>0</v>
      </c>
      <c r="J18" s="5" t="s">
        <v>84</v>
      </c>
      <c r="K18" s="5" t="s">
        <v>55</v>
      </c>
      <c r="L18" s="22" t="str">
        <f>+VLOOKUP(K18,'[1]BASE DE PROVEEDORES'!$A:$B,2,0)</f>
        <v xml:space="preserve">DISTRIBUIDORA DE LUBRICANTES Y COMBUSTIBLES S.A DE C.V </v>
      </c>
      <c r="M18" s="25">
        <v>10.79</v>
      </c>
      <c r="N18" s="5" t="s">
        <v>2</v>
      </c>
      <c r="O18" s="5" t="s">
        <v>2</v>
      </c>
      <c r="P18" s="6">
        <v>79.569999999999993</v>
      </c>
      <c r="Q18" s="5" t="s">
        <v>2</v>
      </c>
      <c r="R18" s="18" t="s">
        <v>2</v>
      </c>
      <c r="S18" s="18" t="s">
        <v>2</v>
      </c>
      <c r="T18" s="12">
        <v>10.34</v>
      </c>
      <c r="U18" s="13">
        <f t="shared" si="1"/>
        <v>100.69999999999999</v>
      </c>
      <c r="V18" s="19" t="s">
        <v>3</v>
      </c>
      <c r="X18" s="3">
        <f t="shared" si="2"/>
        <v>10.34</v>
      </c>
    </row>
    <row r="19" spans="1:24" hidden="1" x14ac:dyDescent="0.25">
      <c r="A19" s="5" t="s">
        <v>25</v>
      </c>
      <c r="C19" s="19" t="s">
        <v>48</v>
      </c>
      <c r="D19" s="20" t="s">
        <v>0</v>
      </c>
      <c r="E19" s="19" t="s">
        <v>21</v>
      </c>
      <c r="F19" s="19" t="s">
        <v>22</v>
      </c>
      <c r="G19" s="4" t="str">
        <f t="shared" si="0"/>
        <v>23/03/2021</v>
      </c>
      <c r="H19" s="19" t="s">
        <v>1</v>
      </c>
      <c r="I19" s="19" t="s">
        <v>0</v>
      </c>
      <c r="J19" s="5" t="s">
        <v>54</v>
      </c>
      <c r="K19" s="5" t="s">
        <v>55</v>
      </c>
      <c r="L19" s="22" t="str">
        <f>+VLOOKUP(K19,'[1]BASE DE PROVEEDORES'!$A:$B,2,0)</f>
        <v xml:space="preserve">DISTRIBUIDORA DE LUBRICANTES Y COMBUSTIBLES S.A DE C.V </v>
      </c>
      <c r="M19" s="25">
        <f>9.44+4.72</f>
        <v>14.16</v>
      </c>
      <c r="N19" s="5" t="s">
        <v>2</v>
      </c>
      <c r="O19" s="5" t="s">
        <v>2</v>
      </c>
      <c r="P19" s="6">
        <v>104.51</v>
      </c>
      <c r="Q19" s="5" t="s">
        <v>2</v>
      </c>
      <c r="R19" s="18" t="s">
        <v>2</v>
      </c>
      <c r="S19" s="18" t="s">
        <v>2</v>
      </c>
      <c r="T19" s="12">
        <v>13.59</v>
      </c>
      <c r="U19" s="13">
        <f t="shared" si="1"/>
        <v>132.26</v>
      </c>
      <c r="V19" s="19" t="s">
        <v>3</v>
      </c>
      <c r="X19" s="3">
        <f t="shared" si="2"/>
        <v>13.59</v>
      </c>
    </row>
    <row r="20" spans="1:24" hidden="1" x14ac:dyDescent="0.25">
      <c r="A20" s="5" t="s">
        <v>25</v>
      </c>
      <c r="C20" s="19" t="s">
        <v>48</v>
      </c>
      <c r="D20" s="20" t="s">
        <v>0</v>
      </c>
      <c r="E20" s="19" t="s">
        <v>21</v>
      </c>
      <c r="F20" s="19" t="s">
        <v>22</v>
      </c>
      <c r="G20" s="4" t="str">
        <f t="shared" si="0"/>
        <v>23/03/2021</v>
      </c>
      <c r="H20" s="19" t="s">
        <v>1</v>
      </c>
      <c r="I20" s="19" t="s">
        <v>0</v>
      </c>
      <c r="J20" s="5" t="s">
        <v>63</v>
      </c>
      <c r="K20" s="5" t="s">
        <v>55</v>
      </c>
      <c r="L20" s="22" t="str">
        <f>+VLOOKUP(K20,'[1]BASE DE PROVEEDORES'!$A:$B,2,0)</f>
        <v xml:space="preserve">DISTRIBUIDORA DE LUBRICANTES Y COMBUSTIBLES S.A DE C.V </v>
      </c>
      <c r="M20" s="25">
        <f>13.66+6.83</f>
        <v>20.490000000000002</v>
      </c>
      <c r="N20" s="5" t="s">
        <v>2</v>
      </c>
      <c r="O20" s="5" t="s">
        <v>2</v>
      </c>
      <c r="P20" s="6">
        <v>151.07</v>
      </c>
      <c r="Q20" s="5" t="s">
        <v>2</v>
      </c>
      <c r="R20" s="18" t="s">
        <v>2</v>
      </c>
      <c r="S20" s="18" t="s">
        <v>2</v>
      </c>
      <c r="T20" s="12">
        <v>19.64</v>
      </c>
      <c r="U20" s="13">
        <f t="shared" si="1"/>
        <v>191.2</v>
      </c>
      <c r="V20" s="19" t="s">
        <v>3</v>
      </c>
      <c r="X20" s="3">
        <f t="shared" si="2"/>
        <v>19.64</v>
      </c>
    </row>
    <row r="21" spans="1:24" hidden="1" x14ac:dyDescent="0.25">
      <c r="A21" s="5" t="s">
        <v>25</v>
      </c>
      <c r="C21" s="19" t="s">
        <v>48</v>
      </c>
      <c r="D21" s="20" t="s">
        <v>0</v>
      </c>
      <c r="E21" s="19" t="s">
        <v>21</v>
      </c>
      <c r="F21" s="19" t="s">
        <v>22</v>
      </c>
      <c r="G21" s="4" t="str">
        <f t="shared" si="0"/>
        <v>23/03/2021</v>
      </c>
      <c r="H21" s="19" t="s">
        <v>1</v>
      </c>
      <c r="I21" s="19" t="s">
        <v>0</v>
      </c>
      <c r="J21" s="5" t="s">
        <v>64</v>
      </c>
      <c r="K21" s="5" t="s">
        <v>55</v>
      </c>
      <c r="L21" s="22" t="str">
        <f>+VLOOKUP(K21,'[1]BASE DE PROVEEDORES'!$A:$B,2,0)</f>
        <v xml:space="preserve">DISTRIBUIDORA DE LUBRICANTES Y COMBUSTIBLES S.A DE C.V </v>
      </c>
      <c r="M21" s="25">
        <f>0.54+0.27</f>
        <v>0.81</v>
      </c>
      <c r="N21" s="5" t="s">
        <v>2</v>
      </c>
      <c r="O21" s="5" t="s">
        <v>2</v>
      </c>
      <c r="P21" s="6">
        <v>6.04</v>
      </c>
      <c r="Q21" s="5" t="s">
        <v>2</v>
      </c>
      <c r="R21" s="18" t="s">
        <v>2</v>
      </c>
      <c r="S21" s="18" t="s">
        <v>2</v>
      </c>
      <c r="T21" s="12">
        <v>0.79</v>
      </c>
      <c r="U21" s="13">
        <f t="shared" si="1"/>
        <v>7.64</v>
      </c>
      <c r="V21" s="19" t="s">
        <v>3</v>
      </c>
      <c r="X21" s="3">
        <f t="shared" si="2"/>
        <v>0.79</v>
      </c>
    </row>
    <row r="22" spans="1:24" hidden="1" x14ac:dyDescent="0.25">
      <c r="A22" s="5" t="s">
        <v>25</v>
      </c>
      <c r="C22" s="19" t="s">
        <v>48</v>
      </c>
      <c r="D22" s="20" t="s">
        <v>0</v>
      </c>
      <c r="E22" s="19" t="s">
        <v>21</v>
      </c>
      <c r="F22" s="19" t="s">
        <v>22</v>
      </c>
      <c r="G22" s="4" t="str">
        <f t="shared" si="0"/>
        <v>23/03/2021</v>
      </c>
      <c r="H22" s="19" t="s">
        <v>1</v>
      </c>
      <c r="I22" s="19" t="s">
        <v>0</v>
      </c>
      <c r="J22" s="5" t="s">
        <v>67</v>
      </c>
      <c r="K22" s="5" t="s">
        <v>55</v>
      </c>
      <c r="L22" s="22" t="str">
        <f>+VLOOKUP(K22,'[1]BASE DE PROVEEDORES'!$A:$B,2,0)</f>
        <v xml:space="preserve">DISTRIBUIDORA DE LUBRICANTES Y COMBUSTIBLES S.A DE C.V </v>
      </c>
      <c r="M22" s="25">
        <f>1.56+0.78</f>
        <v>2.34</v>
      </c>
      <c r="N22" s="5" t="s">
        <v>2</v>
      </c>
      <c r="O22" s="5" t="s">
        <v>2</v>
      </c>
      <c r="P22" s="6">
        <v>17.23</v>
      </c>
      <c r="Q22" s="5" t="s">
        <v>2</v>
      </c>
      <c r="R22" s="18" t="s">
        <v>2</v>
      </c>
      <c r="S22" s="18" t="s">
        <v>2</v>
      </c>
      <c r="T22" s="12">
        <v>2.2400000000000002</v>
      </c>
      <c r="U22" s="13">
        <f t="shared" si="1"/>
        <v>21.810000000000002</v>
      </c>
      <c r="V22" s="19" t="s">
        <v>3</v>
      </c>
      <c r="X22" s="3">
        <f t="shared" si="2"/>
        <v>2.2400000000000002</v>
      </c>
    </row>
    <row r="23" spans="1:24" hidden="1" x14ac:dyDescent="0.25">
      <c r="A23" s="5" t="s">
        <v>25</v>
      </c>
      <c r="B23" s="18" t="s">
        <v>132</v>
      </c>
      <c r="C23" s="20" t="str">
        <f>+LEFT(B23,2)</f>
        <v>23</v>
      </c>
      <c r="D23" s="20" t="str">
        <f>+RIGHT(B23,2)</f>
        <v>03</v>
      </c>
      <c r="E23" s="19" t="s">
        <v>21</v>
      </c>
      <c r="F23" s="19" t="s">
        <v>22</v>
      </c>
      <c r="G23" s="4" t="str">
        <f t="shared" si="0"/>
        <v>23/03/2021</v>
      </c>
      <c r="H23" s="19" t="s">
        <v>1</v>
      </c>
      <c r="I23" s="19" t="s">
        <v>0</v>
      </c>
      <c r="J23" s="5" t="s">
        <v>133</v>
      </c>
      <c r="K23" s="5" t="s">
        <v>55</v>
      </c>
      <c r="L23" s="22" t="str">
        <f>+VLOOKUP(K23,'[1]BASE DE PROVEEDORES'!$A:$B,2,0)</f>
        <v xml:space="preserve">DISTRIBUIDORA DE LUBRICANTES Y COMBUSTIBLES S.A DE C.V </v>
      </c>
      <c r="M23" s="25">
        <f>28.85+14.43</f>
        <v>43.28</v>
      </c>
      <c r="N23" s="5" t="s">
        <v>2</v>
      </c>
      <c r="O23" s="5" t="s">
        <v>2</v>
      </c>
      <c r="P23" s="6">
        <v>319.17</v>
      </c>
      <c r="Q23" s="5" t="s">
        <v>2</v>
      </c>
      <c r="R23" s="18" t="s">
        <v>2</v>
      </c>
      <c r="S23" s="18" t="s">
        <v>2</v>
      </c>
      <c r="T23" s="12">
        <v>41.49</v>
      </c>
      <c r="U23" s="13">
        <f t="shared" si="1"/>
        <v>403.94000000000005</v>
      </c>
      <c r="V23" s="19" t="s">
        <v>3</v>
      </c>
      <c r="X23" s="3">
        <f t="shared" si="2"/>
        <v>41.49</v>
      </c>
    </row>
    <row r="24" spans="1:24" hidden="1" x14ac:dyDescent="0.25">
      <c r="A24" s="5" t="s">
        <v>25</v>
      </c>
      <c r="C24" s="19" t="s">
        <v>65</v>
      </c>
      <c r="D24" s="20" t="s">
        <v>0</v>
      </c>
      <c r="E24" s="19" t="s">
        <v>21</v>
      </c>
      <c r="F24" s="19" t="s">
        <v>22</v>
      </c>
      <c r="G24" s="4" t="str">
        <f t="shared" si="0"/>
        <v>24/03/2021</v>
      </c>
      <c r="H24" s="19" t="s">
        <v>1</v>
      </c>
      <c r="I24" s="19" t="s">
        <v>0</v>
      </c>
      <c r="J24" s="5" t="s">
        <v>66</v>
      </c>
      <c r="K24" s="5" t="s">
        <v>55</v>
      </c>
      <c r="L24" s="22" t="str">
        <f>+VLOOKUP(K24,'[1]BASE DE PROVEEDORES'!$A:$B,2,0)</f>
        <v xml:space="preserve">DISTRIBUIDORA DE LUBRICANTES Y COMBUSTIBLES S.A DE C.V </v>
      </c>
      <c r="M24" s="25">
        <f>10.62+5.31</f>
        <v>15.93</v>
      </c>
      <c r="N24" s="5" t="s">
        <v>2</v>
      </c>
      <c r="O24" s="5" t="s">
        <v>2</v>
      </c>
      <c r="P24" s="6">
        <v>117.43</v>
      </c>
      <c r="Q24" s="5" t="s">
        <v>2</v>
      </c>
      <c r="R24" s="18" t="s">
        <v>2</v>
      </c>
      <c r="S24" s="18" t="s">
        <v>2</v>
      </c>
      <c r="T24" s="12">
        <v>15.27</v>
      </c>
      <c r="U24" s="13">
        <f t="shared" si="1"/>
        <v>148.63000000000002</v>
      </c>
      <c r="V24" s="19" t="s">
        <v>3</v>
      </c>
      <c r="X24" s="3">
        <f t="shared" si="2"/>
        <v>15.27</v>
      </c>
    </row>
    <row r="25" spans="1:24" hidden="1" x14ac:dyDescent="0.25">
      <c r="A25" s="5" t="s">
        <v>25</v>
      </c>
      <c r="C25" s="19" t="s">
        <v>65</v>
      </c>
      <c r="D25" s="20" t="s">
        <v>0</v>
      </c>
      <c r="E25" s="19" t="s">
        <v>21</v>
      </c>
      <c r="F25" s="19" t="s">
        <v>22</v>
      </c>
      <c r="G25" s="4" t="str">
        <f t="shared" si="0"/>
        <v>24/03/2021</v>
      </c>
      <c r="H25" s="19" t="s">
        <v>1</v>
      </c>
      <c r="I25" s="19" t="s">
        <v>0</v>
      </c>
      <c r="J25" s="5" t="s">
        <v>82</v>
      </c>
      <c r="K25" s="5" t="s">
        <v>55</v>
      </c>
      <c r="L25" s="22" t="str">
        <f>+VLOOKUP(K25,'[1]BASE DE PROVEEDORES'!$A:$B,2,0)</f>
        <v xml:space="preserve">DISTRIBUIDORA DE LUBRICANTES Y COMBUSTIBLES S.A DE C.V </v>
      </c>
      <c r="M25" s="25">
        <f>10.48+5.24</f>
        <v>15.72</v>
      </c>
      <c r="N25" s="5" t="s">
        <v>2</v>
      </c>
      <c r="O25" s="5" t="s">
        <v>2</v>
      </c>
      <c r="P25" s="6">
        <v>119.46</v>
      </c>
      <c r="Q25" s="5" t="s">
        <v>2</v>
      </c>
      <c r="R25" s="18" t="s">
        <v>2</v>
      </c>
      <c r="S25" s="18" t="s">
        <v>2</v>
      </c>
      <c r="T25" s="12">
        <v>15.53</v>
      </c>
      <c r="U25" s="13">
        <f t="shared" si="1"/>
        <v>150.71</v>
      </c>
      <c r="V25" s="19" t="s">
        <v>3</v>
      </c>
      <c r="X25" s="3">
        <f t="shared" si="2"/>
        <v>15.53</v>
      </c>
    </row>
    <row r="26" spans="1:24" hidden="1" x14ac:dyDescent="0.25">
      <c r="A26" s="5" t="s">
        <v>25</v>
      </c>
      <c r="B26" s="18" t="s">
        <v>129</v>
      </c>
      <c r="C26" s="20" t="str">
        <f>+LEFT(B26,2)</f>
        <v>24</v>
      </c>
      <c r="D26" s="20" t="str">
        <f>+RIGHT(B26,2)</f>
        <v>03</v>
      </c>
      <c r="E26" s="19" t="s">
        <v>21</v>
      </c>
      <c r="F26" s="19" t="s">
        <v>22</v>
      </c>
      <c r="G26" s="4" t="str">
        <f t="shared" si="0"/>
        <v>24/03/2021</v>
      </c>
      <c r="H26" s="19" t="s">
        <v>1</v>
      </c>
      <c r="I26" s="19" t="s">
        <v>0</v>
      </c>
      <c r="J26" s="5" t="s">
        <v>130</v>
      </c>
      <c r="K26" s="5" t="s">
        <v>55</v>
      </c>
      <c r="L26" s="22" t="str">
        <f>+VLOOKUP(K26,'[1]BASE DE PROVEEDORES'!$A:$B,2,0)</f>
        <v xml:space="preserve">DISTRIBUIDORA DE LUBRICANTES Y COMBUSTIBLES S.A DE C.V </v>
      </c>
      <c r="M26" s="25">
        <f>0.99+0.5</f>
        <v>1.49</v>
      </c>
      <c r="N26" s="5" t="s">
        <v>2</v>
      </c>
      <c r="O26" s="5" t="s">
        <v>2</v>
      </c>
      <c r="P26" s="6">
        <v>11.33</v>
      </c>
      <c r="Q26" s="5" t="s">
        <v>2</v>
      </c>
      <c r="R26" s="18" t="s">
        <v>2</v>
      </c>
      <c r="S26" s="18" t="s">
        <v>2</v>
      </c>
      <c r="T26" s="12">
        <v>1.47</v>
      </c>
      <c r="U26" s="13">
        <f t="shared" si="1"/>
        <v>14.290000000000001</v>
      </c>
      <c r="V26" s="19" t="s">
        <v>3</v>
      </c>
      <c r="X26" s="3">
        <f t="shared" si="2"/>
        <v>1.47</v>
      </c>
    </row>
    <row r="27" spans="1:24" hidden="1" x14ac:dyDescent="0.25">
      <c r="A27" s="5" t="s">
        <v>25</v>
      </c>
      <c r="B27" s="18" t="s">
        <v>129</v>
      </c>
      <c r="C27" s="20" t="str">
        <f>+LEFT(B27,2)</f>
        <v>24</v>
      </c>
      <c r="D27" s="20" t="str">
        <f>+RIGHT(B27,2)</f>
        <v>03</v>
      </c>
      <c r="E27" s="19" t="s">
        <v>21</v>
      </c>
      <c r="F27" s="19" t="s">
        <v>22</v>
      </c>
      <c r="G27" s="4" t="str">
        <f t="shared" si="0"/>
        <v>24/03/2021</v>
      </c>
      <c r="H27" s="19" t="s">
        <v>1</v>
      </c>
      <c r="I27" s="19" t="s">
        <v>0</v>
      </c>
      <c r="J27" s="5" t="s">
        <v>131</v>
      </c>
      <c r="K27" s="5" t="s">
        <v>55</v>
      </c>
      <c r="L27" s="22" t="str">
        <f>+VLOOKUP(K27,'[1]BASE DE PROVEEDORES'!$A:$B,2,0)</f>
        <v xml:space="preserve">DISTRIBUIDORA DE LUBRICANTES Y COMBUSTIBLES S.A DE C.V </v>
      </c>
      <c r="M27" s="25">
        <f>23+11.51</f>
        <v>34.51</v>
      </c>
      <c r="N27" s="5" t="s">
        <v>2</v>
      </c>
      <c r="O27" s="5" t="s">
        <v>2</v>
      </c>
      <c r="P27" s="6">
        <v>254.52</v>
      </c>
      <c r="Q27" s="5" t="s">
        <v>2</v>
      </c>
      <c r="R27" s="18" t="s">
        <v>2</v>
      </c>
      <c r="S27" s="18" t="s">
        <v>2</v>
      </c>
      <c r="T27" s="12">
        <v>33.090000000000003</v>
      </c>
      <c r="U27" s="13">
        <f t="shared" si="1"/>
        <v>322.12</v>
      </c>
      <c r="V27" s="19" t="s">
        <v>3</v>
      </c>
      <c r="X27" s="3">
        <f t="shared" si="2"/>
        <v>33.090000000000003</v>
      </c>
    </row>
    <row r="28" spans="1:24" hidden="1" x14ac:dyDescent="0.25">
      <c r="A28" s="5" t="s">
        <v>25</v>
      </c>
      <c r="B28" s="18" t="s">
        <v>129</v>
      </c>
      <c r="C28" s="20" t="str">
        <f>+LEFT(B28,2)</f>
        <v>24</v>
      </c>
      <c r="D28" s="20" t="str">
        <f>+RIGHT(B28,2)</f>
        <v>03</v>
      </c>
      <c r="E28" s="19" t="s">
        <v>21</v>
      </c>
      <c r="F28" s="19" t="s">
        <v>22</v>
      </c>
      <c r="G28" s="4" t="str">
        <f t="shared" si="0"/>
        <v>24/03/2021</v>
      </c>
      <c r="H28" s="19" t="s">
        <v>1</v>
      </c>
      <c r="I28" s="19" t="s">
        <v>0</v>
      </c>
      <c r="J28" s="5" t="s">
        <v>201</v>
      </c>
      <c r="K28" s="5" t="s">
        <v>202</v>
      </c>
      <c r="L28" s="22" t="str">
        <f>+VLOOKUP(K28,'[1]BASE DE PROVEEDORES'!$A:$B,2,0)</f>
        <v>CTE TELECOM PERSONAL S.A DE C.V.</v>
      </c>
      <c r="M28" s="25">
        <v>0</v>
      </c>
      <c r="N28" s="5" t="s">
        <v>2</v>
      </c>
      <c r="O28" s="5" t="s">
        <v>2</v>
      </c>
      <c r="P28" s="6">
        <v>79.08</v>
      </c>
      <c r="Q28" s="5" t="s">
        <v>2</v>
      </c>
      <c r="R28" s="18" t="s">
        <v>2</v>
      </c>
      <c r="S28" s="18" t="s">
        <v>2</v>
      </c>
      <c r="T28" s="12">
        <v>10.28</v>
      </c>
      <c r="U28" s="13">
        <f t="shared" si="1"/>
        <v>89.36</v>
      </c>
      <c r="V28" s="19" t="s">
        <v>3</v>
      </c>
      <c r="X28" s="3">
        <f t="shared" si="2"/>
        <v>10.28</v>
      </c>
    </row>
    <row r="29" spans="1:24" hidden="1" x14ac:dyDescent="0.25">
      <c r="A29" s="5" t="s">
        <v>25</v>
      </c>
      <c r="C29" s="19" t="s">
        <v>68</v>
      </c>
      <c r="D29" s="20" t="s">
        <v>0</v>
      </c>
      <c r="E29" s="19" t="s">
        <v>21</v>
      </c>
      <c r="F29" s="19" t="s">
        <v>22</v>
      </c>
      <c r="G29" s="4" t="str">
        <f t="shared" si="0"/>
        <v>25/03/2021</v>
      </c>
      <c r="H29" s="19" t="s">
        <v>1</v>
      </c>
      <c r="I29" s="19" t="s">
        <v>0</v>
      </c>
      <c r="J29" s="5" t="s">
        <v>69</v>
      </c>
      <c r="K29" s="5" t="s">
        <v>55</v>
      </c>
      <c r="L29" s="22" t="str">
        <f>+VLOOKUP(K29,'[1]BASE DE PROVEEDORES'!$A:$B,2,0)</f>
        <v xml:space="preserve">DISTRIBUIDORA DE LUBRICANTES Y COMBUSTIBLES S.A DE C.V </v>
      </c>
      <c r="M29" s="25">
        <f>2.65+1.32</f>
        <v>3.9699999999999998</v>
      </c>
      <c r="N29" s="5" t="s">
        <v>2</v>
      </c>
      <c r="O29" s="5" t="s">
        <v>2</v>
      </c>
      <c r="P29" s="6">
        <v>30.16</v>
      </c>
      <c r="Q29" s="5" t="s">
        <v>2</v>
      </c>
      <c r="R29" s="18" t="s">
        <v>2</v>
      </c>
      <c r="S29" s="18" t="s">
        <v>2</v>
      </c>
      <c r="T29" s="12">
        <v>3.92</v>
      </c>
      <c r="U29" s="13">
        <f t="shared" si="1"/>
        <v>38.050000000000004</v>
      </c>
      <c r="V29" s="19" t="s">
        <v>3</v>
      </c>
      <c r="X29" s="3">
        <f t="shared" si="2"/>
        <v>3.92</v>
      </c>
    </row>
    <row r="30" spans="1:24" hidden="1" x14ac:dyDescent="0.25">
      <c r="A30" s="5" t="s">
        <v>25</v>
      </c>
      <c r="C30" s="19" t="s">
        <v>68</v>
      </c>
      <c r="D30" s="20" t="s">
        <v>0</v>
      </c>
      <c r="E30" s="19" t="s">
        <v>21</v>
      </c>
      <c r="F30" s="19" t="s">
        <v>22</v>
      </c>
      <c r="G30" s="4" t="str">
        <f t="shared" si="0"/>
        <v>25/03/2021</v>
      </c>
      <c r="H30" s="19" t="s">
        <v>1</v>
      </c>
      <c r="I30" s="19" t="s">
        <v>0</v>
      </c>
      <c r="J30" s="5" t="s">
        <v>83</v>
      </c>
      <c r="K30" s="5" t="s">
        <v>55</v>
      </c>
      <c r="L30" s="22" t="str">
        <f>+VLOOKUP(K30,'[1]BASE DE PROVEEDORES'!$A:$B,2,0)</f>
        <v xml:space="preserve">DISTRIBUIDORA DE LUBRICANTES Y COMBUSTIBLES S.A DE C.V </v>
      </c>
      <c r="M30" s="25">
        <f>6.73+3.37</f>
        <v>10.100000000000001</v>
      </c>
      <c r="N30" s="5" t="s">
        <v>2</v>
      </c>
      <c r="O30" s="5" t="s">
        <v>2</v>
      </c>
      <c r="P30" s="6">
        <v>76.790000000000006</v>
      </c>
      <c r="Q30" s="5" t="s">
        <v>2</v>
      </c>
      <c r="R30" s="18" t="s">
        <v>2</v>
      </c>
      <c r="S30" s="18" t="s">
        <v>2</v>
      </c>
      <c r="T30" s="12">
        <v>9.98</v>
      </c>
      <c r="U30" s="13">
        <f t="shared" si="1"/>
        <v>96.870000000000019</v>
      </c>
      <c r="V30" s="19" t="s">
        <v>3</v>
      </c>
      <c r="X30" s="3">
        <f t="shared" si="2"/>
        <v>9.98</v>
      </c>
    </row>
    <row r="31" spans="1:24" hidden="1" x14ac:dyDescent="0.25">
      <c r="A31" s="5" t="s">
        <v>25</v>
      </c>
      <c r="B31" s="18" t="s">
        <v>107</v>
      </c>
      <c r="C31" s="20" t="str">
        <f>+LEFT(B31,2)</f>
        <v>25</v>
      </c>
      <c r="D31" s="20" t="str">
        <f>+RIGHT(B31,2)</f>
        <v>03</v>
      </c>
      <c r="E31" s="19" t="s">
        <v>21</v>
      </c>
      <c r="F31" s="19" t="s">
        <v>22</v>
      </c>
      <c r="G31" s="4" t="str">
        <f t="shared" si="0"/>
        <v>25/03/2021</v>
      </c>
      <c r="H31" s="19" t="s">
        <v>1</v>
      </c>
      <c r="I31" s="19" t="s">
        <v>0</v>
      </c>
      <c r="J31" s="5" t="s">
        <v>108</v>
      </c>
      <c r="K31" s="5" t="s">
        <v>55</v>
      </c>
      <c r="L31" s="22" t="str">
        <f>+VLOOKUP(K31,'[1]BASE DE PROVEEDORES'!$A:$B,2,0)</f>
        <v xml:space="preserve">DISTRIBUIDORA DE LUBRICANTES Y COMBUSTIBLES S.A DE C.V </v>
      </c>
      <c r="M31" s="26">
        <f>3.6+1.8</f>
        <v>5.4</v>
      </c>
      <c r="N31" s="5" t="s">
        <v>2</v>
      </c>
      <c r="O31" s="5" t="s">
        <v>2</v>
      </c>
      <c r="P31" s="6">
        <v>41.05</v>
      </c>
      <c r="Q31" s="5" t="s">
        <v>2</v>
      </c>
      <c r="R31" s="18" t="s">
        <v>2</v>
      </c>
      <c r="S31" s="18" t="s">
        <v>2</v>
      </c>
      <c r="T31" s="12">
        <v>5.34</v>
      </c>
      <c r="U31" s="13">
        <f t="shared" si="1"/>
        <v>51.789999999999992</v>
      </c>
      <c r="V31" s="19" t="s">
        <v>3</v>
      </c>
      <c r="X31" s="3">
        <f t="shared" si="2"/>
        <v>5.34</v>
      </c>
    </row>
    <row r="32" spans="1:24" hidden="1" x14ac:dyDescent="0.25">
      <c r="A32" s="5" t="s">
        <v>25</v>
      </c>
      <c r="B32" s="18" t="s">
        <v>107</v>
      </c>
      <c r="C32" s="20" t="str">
        <f>+LEFT(B32,2)</f>
        <v>25</v>
      </c>
      <c r="D32" s="20" t="str">
        <f>+RIGHT(B32,2)</f>
        <v>03</v>
      </c>
      <c r="E32" s="19" t="s">
        <v>21</v>
      </c>
      <c r="F32" s="19" t="s">
        <v>22</v>
      </c>
      <c r="G32" s="4" t="str">
        <f t="shared" si="0"/>
        <v>25/03/2021</v>
      </c>
      <c r="H32" s="19" t="s">
        <v>1</v>
      </c>
      <c r="I32" s="19" t="s">
        <v>0</v>
      </c>
      <c r="J32" s="5" t="s">
        <v>128</v>
      </c>
      <c r="K32" s="5" t="s">
        <v>55</v>
      </c>
      <c r="L32" s="22" t="str">
        <f>+VLOOKUP(K32,'[1]BASE DE PROVEEDORES'!$A:$B,2,0)</f>
        <v xml:space="preserve">DISTRIBUIDORA DE LUBRICANTES Y COMBUSTIBLES S.A DE C.V </v>
      </c>
      <c r="M32" s="25">
        <f>10.36+5.18</f>
        <v>15.54</v>
      </c>
      <c r="N32" s="5" t="s">
        <v>2</v>
      </c>
      <c r="O32" s="5" t="s">
        <v>2</v>
      </c>
      <c r="P32" s="6">
        <v>118.13</v>
      </c>
      <c r="Q32" s="5" t="s">
        <v>2</v>
      </c>
      <c r="R32" s="18" t="s">
        <v>2</v>
      </c>
      <c r="S32" s="18" t="s">
        <v>2</v>
      </c>
      <c r="T32" s="12">
        <v>15.36</v>
      </c>
      <c r="U32" s="13">
        <f t="shared" si="1"/>
        <v>149.02999999999997</v>
      </c>
      <c r="V32" s="19" t="s">
        <v>3</v>
      </c>
      <c r="X32" s="3">
        <f t="shared" si="2"/>
        <v>15.36</v>
      </c>
    </row>
    <row r="33" spans="1:24" hidden="1" x14ac:dyDescent="0.25">
      <c r="A33" s="5" t="s">
        <v>25</v>
      </c>
      <c r="C33" s="19" t="s">
        <v>80</v>
      </c>
      <c r="D33" s="20" t="s">
        <v>0</v>
      </c>
      <c r="E33" s="19" t="s">
        <v>21</v>
      </c>
      <c r="F33" s="19" t="s">
        <v>22</v>
      </c>
      <c r="G33" s="4" t="str">
        <f t="shared" si="0"/>
        <v>26/03/2021</v>
      </c>
      <c r="H33" s="19" t="s">
        <v>1</v>
      </c>
      <c r="I33" s="19" t="s">
        <v>0</v>
      </c>
      <c r="J33" s="5" t="s">
        <v>81</v>
      </c>
      <c r="K33" s="5" t="s">
        <v>55</v>
      </c>
      <c r="L33" s="22" t="str">
        <f>+VLOOKUP(K33,'[1]BASE DE PROVEEDORES'!$A:$B,2,0)</f>
        <v xml:space="preserve">DISTRIBUIDORA DE LUBRICANTES Y COMBUSTIBLES S.A DE C.V </v>
      </c>
      <c r="M33" s="25">
        <f>6.98+3.49</f>
        <v>10.47</v>
      </c>
      <c r="N33" s="5" t="s">
        <v>2</v>
      </c>
      <c r="O33" s="5" t="s">
        <v>2</v>
      </c>
      <c r="P33" s="6">
        <v>79.540000000000006</v>
      </c>
      <c r="Q33" s="5" t="s">
        <v>2</v>
      </c>
      <c r="R33" s="18" t="s">
        <v>2</v>
      </c>
      <c r="S33" s="18" t="s">
        <v>2</v>
      </c>
      <c r="T33" s="12">
        <v>10.34</v>
      </c>
      <c r="U33" s="13">
        <f t="shared" si="1"/>
        <v>100.35000000000001</v>
      </c>
      <c r="V33" s="19" t="s">
        <v>3</v>
      </c>
      <c r="X33" s="3">
        <f t="shared" si="2"/>
        <v>10.34</v>
      </c>
    </row>
    <row r="34" spans="1:24" hidden="1" x14ac:dyDescent="0.25">
      <c r="A34" s="5" t="s">
        <v>25</v>
      </c>
      <c r="C34" s="19" t="s">
        <v>74</v>
      </c>
      <c r="D34" s="20" t="s">
        <v>0</v>
      </c>
      <c r="E34" s="19" t="s">
        <v>21</v>
      </c>
      <c r="F34" s="19" t="s">
        <v>22</v>
      </c>
      <c r="G34" s="4" t="str">
        <f t="shared" ref="G34:G65" si="3">+C34&amp;F34&amp;D34&amp;F34&amp;E34</f>
        <v>27/03/2021</v>
      </c>
      <c r="H34" s="19" t="s">
        <v>1</v>
      </c>
      <c r="I34" s="19" t="s">
        <v>0</v>
      </c>
      <c r="J34" s="5" t="s">
        <v>75</v>
      </c>
      <c r="K34" s="5" t="s">
        <v>55</v>
      </c>
      <c r="L34" s="22" t="str">
        <f>+VLOOKUP(K34,'[1]BASE DE PROVEEDORES'!$A:$B,2,0)</f>
        <v xml:space="preserve">DISTRIBUIDORA DE LUBRICANTES Y COMBUSTIBLES S.A DE C.V </v>
      </c>
      <c r="M34" s="25">
        <v>14.4</v>
      </c>
      <c r="N34" s="5" t="s">
        <v>2</v>
      </c>
      <c r="O34" s="5" t="s">
        <v>2</v>
      </c>
      <c r="P34" s="6">
        <v>109.43</v>
      </c>
      <c r="Q34" s="5" t="s">
        <v>2</v>
      </c>
      <c r="R34" s="18" t="s">
        <v>2</v>
      </c>
      <c r="S34" s="18" t="s">
        <v>2</v>
      </c>
      <c r="T34" s="12">
        <v>14.23</v>
      </c>
      <c r="U34" s="13">
        <f t="shared" ref="U34:U65" si="4">+M34+P34+T34</f>
        <v>138.06</v>
      </c>
      <c r="V34" s="19" t="s">
        <v>3</v>
      </c>
      <c r="X34" s="3">
        <f t="shared" si="2"/>
        <v>14.23</v>
      </c>
    </row>
    <row r="35" spans="1:24" hidden="1" x14ac:dyDescent="0.25">
      <c r="A35" s="5" t="s">
        <v>25</v>
      </c>
      <c r="C35" s="19" t="s">
        <v>74</v>
      </c>
      <c r="D35" s="20" t="s">
        <v>0</v>
      </c>
      <c r="E35" s="19" t="s">
        <v>21</v>
      </c>
      <c r="F35" s="19" t="s">
        <v>22</v>
      </c>
      <c r="G35" s="4" t="str">
        <f t="shared" si="3"/>
        <v>27/03/2021</v>
      </c>
      <c r="H35" s="19" t="s">
        <v>1</v>
      </c>
      <c r="I35" s="19" t="s">
        <v>0</v>
      </c>
      <c r="J35" s="5" t="s">
        <v>79</v>
      </c>
      <c r="K35" s="5" t="s">
        <v>55</v>
      </c>
      <c r="L35" s="22" t="str">
        <f>+VLOOKUP(K35,'[1]BASE DE PROVEEDORES'!$A:$B,2,0)</f>
        <v xml:space="preserve">DISTRIBUIDORA DE LUBRICANTES Y COMBUSTIBLES S.A DE C.V </v>
      </c>
      <c r="M35" s="25">
        <v>3.68</v>
      </c>
      <c r="N35" s="5" t="s">
        <v>2</v>
      </c>
      <c r="O35" s="5" t="s">
        <v>2</v>
      </c>
      <c r="P35" s="6">
        <v>28</v>
      </c>
      <c r="Q35" s="5" t="s">
        <v>2</v>
      </c>
      <c r="R35" s="18" t="s">
        <v>2</v>
      </c>
      <c r="S35" s="18" t="s">
        <v>2</v>
      </c>
      <c r="T35" s="12">
        <v>3.64</v>
      </c>
      <c r="U35" s="13">
        <f t="shared" si="4"/>
        <v>35.32</v>
      </c>
      <c r="V35" s="19" t="s">
        <v>3</v>
      </c>
      <c r="X35" s="3">
        <f t="shared" si="2"/>
        <v>3.64</v>
      </c>
    </row>
    <row r="36" spans="1:24" hidden="1" x14ac:dyDescent="0.25">
      <c r="A36" s="5" t="s">
        <v>25</v>
      </c>
      <c r="B36" s="18" t="s">
        <v>105</v>
      </c>
      <c r="C36" s="20" t="str">
        <f>+LEFT(B36,2)</f>
        <v>28</v>
      </c>
      <c r="D36" s="20" t="str">
        <f>+RIGHT(B36,2)</f>
        <v>03</v>
      </c>
      <c r="E36" s="19" t="s">
        <v>21</v>
      </c>
      <c r="F36" s="19" t="s">
        <v>22</v>
      </c>
      <c r="G36" s="4" t="str">
        <f t="shared" si="3"/>
        <v>28/03/2021</v>
      </c>
      <c r="H36" s="19" t="s">
        <v>1</v>
      </c>
      <c r="I36" s="19" t="s">
        <v>0</v>
      </c>
      <c r="J36" s="5" t="s">
        <v>106</v>
      </c>
      <c r="K36" s="5" t="s">
        <v>55</v>
      </c>
      <c r="L36" s="22" t="str">
        <f>+VLOOKUP(K36,'[1]BASE DE PROVEEDORES'!$A:$B,2,0)</f>
        <v xml:space="preserve">DISTRIBUIDORA DE LUBRICANTES Y COMBUSTIBLES S.A DE C.V </v>
      </c>
      <c r="M36" s="25">
        <f>28.4+14.2</f>
        <v>42.599999999999994</v>
      </c>
      <c r="N36" s="5" t="s">
        <v>2</v>
      </c>
      <c r="O36" s="5" t="s">
        <v>2</v>
      </c>
      <c r="P36" s="6">
        <v>323.83</v>
      </c>
      <c r="Q36" s="5" t="s">
        <v>2</v>
      </c>
      <c r="R36" s="18" t="s">
        <v>2</v>
      </c>
      <c r="S36" s="18" t="s">
        <v>2</v>
      </c>
      <c r="T36" s="12">
        <v>42.1</v>
      </c>
      <c r="U36" s="13">
        <f t="shared" si="4"/>
        <v>408.53</v>
      </c>
      <c r="V36" s="19" t="s">
        <v>3</v>
      </c>
      <c r="X36" s="3">
        <f t="shared" si="2"/>
        <v>42.1</v>
      </c>
    </row>
    <row r="37" spans="1:24" hidden="1" x14ac:dyDescent="0.25">
      <c r="A37" s="5" t="s">
        <v>25</v>
      </c>
      <c r="B37" s="18" t="s">
        <v>105</v>
      </c>
      <c r="C37" s="20" t="str">
        <f>+LEFT(B37,2)</f>
        <v>28</v>
      </c>
      <c r="D37" s="20" t="str">
        <f>+RIGHT(B37,2)</f>
        <v>03</v>
      </c>
      <c r="E37" s="19" t="s">
        <v>21</v>
      </c>
      <c r="F37" s="19" t="s">
        <v>22</v>
      </c>
      <c r="G37" s="4" t="str">
        <f t="shared" si="3"/>
        <v>28/03/2021</v>
      </c>
      <c r="H37" s="19" t="s">
        <v>1</v>
      </c>
      <c r="I37" s="19" t="s">
        <v>0</v>
      </c>
      <c r="J37" s="5" t="s">
        <v>126</v>
      </c>
      <c r="K37" s="5" t="s">
        <v>55</v>
      </c>
      <c r="L37" s="22" t="str">
        <f>+VLOOKUP(K37,'[1]BASE DE PROVEEDORES'!$A:$B,2,0)</f>
        <v xml:space="preserve">DISTRIBUIDORA DE LUBRICANTES Y COMBUSTIBLES S.A DE C.V </v>
      </c>
      <c r="M37" s="25">
        <v>14.02</v>
      </c>
      <c r="N37" s="5" t="s">
        <v>2</v>
      </c>
      <c r="O37" s="5" t="s">
        <v>2</v>
      </c>
      <c r="P37" s="6">
        <v>106.5</v>
      </c>
      <c r="Q37" s="5" t="s">
        <v>2</v>
      </c>
      <c r="R37" s="18" t="s">
        <v>2</v>
      </c>
      <c r="S37" s="18" t="s">
        <v>2</v>
      </c>
      <c r="T37" s="12">
        <v>13.85</v>
      </c>
      <c r="U37" s="13">
        <f t="shared" si="4"/>
        <v>134.37</v>
      </c>
      <c r="V37" s="19" t="s">
        <v>3</v>
      </c>
      <c r="X37" s="3">
        <f t="shared" si="2"/>
        <v>13.85</v>
      </c>
    </row>
    <row r="38" spans="1:24" hidden="1" x14ac:dyDescent="0.25">
      <c r="A38" s="5" t="s">
        <v>25</v>
      </c>
      <c r="B38" s="18" t="s">
        <v>105</v>
      </c>
      <c r="C38" s="20" t="str">
        <f>+LEFT(B38,2)</f>
        <v>28</v>
      </c>
      <c r="D38" s="20" t="str">
        <f>+RIGHT(B38,2)</f>
        <v>03</v>
      </c>
      <c r="E38" s="19" t="s">
        <v>21</v>
      </c>
      <c r="F38" s="19" t="s">
        <v>22</v>
      </c>
      <c r="G38" s="4" t="str">
        <f t="shared" si="3"/>
        <v>28/03/2021</v>
      </c>
      <c r="H38" s="19" t="s">
        <v>1</v>
      </c>
      <c r="I38" s="19" t="s">
        <v>0</v>
      </c>
      <c r="J38" s="5" t="s">
        <v>127</v>
      </c>
      <c r="K38" s="5" t="s">
        <v>55</v>
      </c>
      <c r="L38" s="22" t="str">
        <f>+VLOOKUP(K38,'[1]BASE DE PROVEEDORES'!$A:$B,2,0)</f>
        <v xml:space="preserve">DISTRIBUIDORA DE LUBRICANTES Y COMBUSTIBLES S.A DE C.V </v>
      </c>
      <c r="M38" s="25">
        <f>19+9.5</f>
        <v>28.5</v>
      </c>
      <c r="N38" s="5" t="s">
        <v>2</v>
      </c>
      <c r="O38" s="5" t="s">
        <v>2</v>
      </c>
      <c r="P38" s="6">
        <v>216.64</v>
      </c>
      <c r="Q38" s="5" t="s">
        <v>2</v>
      </c>
      <c r="R38" s="18" t="s">
        <v>2</v>
      </c>
      <c r="S38" s="18" t="s">
        <v>2</v>
      </c>
      <c r="T38" s="12">
        <v>28.16</v>
      </c>
      <c r="U38" s="13">
        <f t="shared" si="4"/>
        <v>273.3</v>
      </c>
      <c r="V38" s="19" t="s">
        <v>3</v>
      </c>
      <c r="X38" s="3">
        <f t="shared" si="2"/>
        <v>28.16</v>
      </c>
    </row>
    <row r="39" spans="1:24" hidden="1" x14ac:dyDescent="0.25">
      <c r="A39" s="5" t="s">
        <v>25</v>
      </c>
      <c r="B39" s="18" t="s">
        <v>104</v>
      </c>
      <c r="C39" s="20" t="str">
        <f>+LEFT(B39,2)</f>
        <v>29</v>
      </c>
      <c r="D39" s="20" t="str">
        <f>+RIGHT(B39,2)</f>
        <v>03</v>
      </c>
      <c r="E39" s="19" t="s">
        <v>21</v>
      </c>
      <c r="F39" s="19" t="s">
        <v>22</v>
      </c>
      <c r="G39" s="4" t="str">
        <f t="shared" si="3"/>
        <v>29/03/2021</v>
      </c>
      <c r="H39" s="19" t="s">
        <v>1</v>
      </c>
      <c r="I39" s="19" t="s">
        <v>0</v>
      </c>
      <c r="J39" s="5" t="s">
        <v>103</v>
      </c>
      <c r="K39" s="5" t="s">
        <v>55</v>
      </c>
      <c r="L39" s="22" t="str">
        <f>+VLOOKUP(K39,'[1]BASE DE PROVEEDORES'!$A:$B,2,0)</f>
        <v xml:space="preserve">DISTRIBUIDORA DE LUBRICANTES Y COMBUSTIBLES S.A DE C.V </v>
      </c>
      <c r="M39" s="25">
        <f>10.03+5.01</f>
        <v>15.04</v>
      </c>
      <c r="N39" s="5" t="s">
        <v>2</v>
      </c>
      <c r="O39" s="5" t="s">
        <v>2</v>
      </c>
      <c r="P39" s="6">
        <v>114.32</v>
      </c>
      <c r="Q39" s="5" t="s">
        <v>2</v>
      </c>
      <c r="R39" s="18" t="s">
        <v>2</v>
      </c>
      <c r="S39" s="18" t="s">
        <v>2</v>
      </c>
      <c r="T39" s="12">
        <v>14.86</v>
      </c>
      <c r="U39" s="13">
        <f t="shared" si="4"/>
        <v>144.21999999999997</v>
      </c>
      <c r="V39" s="19" t="s">
        <v>3</v>
      </c>
      <c r="X39" s="3">
        <f t="shared" si="2"/>
        <v>14.86</v>
      </c>
    </row>
    <row r="40" spans="1:24" hidden="1" x14ac:dyDescent="0.25">
      <c r="A40" s="5" t="s">
        <v>25</v>
      </c>
      <c r="B40" s="18" t="s">
        <v>104</v>
      </c>
      <c r="C40" s="20" t="str">
        <f>+LEFT(B40,2)</f>
        <v>29</v>
      </c>
      <c r="D40" s="20" t="str">
        <f>+RIGHT(B40,2)</f>
        <v>03</v>
      </c>
      <c r="E40" s="19" t="s">
        <v>21</v>
      </c>
      <c r="F40" s="19" t="s">
        <v>22</v>
      </c>
      <c r="G40" s="4" t="str">
        <f t="shared" si="3"/>
        <v>29/03/2021</v>
      </c>
      <c r="H40" s="19" t="s">
        <v>1</v>
      </c>
      <c r="I40" s="19" t="s">
        <v>0</v>
      </c>
      <c r="J40" s="5" t="s">
        <v>208</v>
      </c>
      <c r="K40" s="5" t="s">
        <v>192</v>
      </c>
      <c r="L40" s="22" t="str">
        <f>+VLOOKUP(K40,'[1]BASE DE PROVEEDORES'!$A:$B,2,0)</f>
        <v>REPUESTOS NOE S.A DE C.V.</v>
      </c>
      <c r="M40" s="25">
        <v>0</v>
      </c>
      <c r="N40" s="5" t="s">
        <v>2</v>
      </c>
      <c r="O40" s="5" t="s">
        <v>2</v>
      </c>
      <c r="P40" s="6">
        <v>150</v>
      </c>
      <c r="Q40" s="5" t="s">
        <v>2</v>
      </c>
      <c r="R40" s="18" t="s">
        <v>2</v>
      </c>
      <c r="S40" s="18" t="s">
        <v>2</v>
      </c>
      <c r="T40" s="12">
        <v>19.5</v>
      </c>
      <c r="U40" s="13">
        <f t="shared" si="4"/>
        <v>169.5</v>
      </c>
      <c r="V40" s="19" t="s">
        <v>3</v>
      </c>
      <c r="X40" s="3">
        <f t="shared" si="2"/>
        <v>19.5</v>
      </c>
    </row>
    <row r="41" spans="1:24" hidden="1" x14ac:dyDescent="0.25">
      <c r="A41" s="5" t="s">
        <v>25</v>
      </c>
      <c r="C41" s="19" t="s">
        <v>70</v>
      </c>
      <c r="D41" s="20" t="s">
        <v>0</v>
      </c>
      <c r="E41" s="19" t="s">
        <v>21</v>
      </c>
      <c r="F41" s="19" t="s">
        <v>22</v>
      </c>
      <c r="G41" s="4" t="str">
        <f t="shared" si="3"/>
        <v>30/03/2021</v>
      </c>
      <c r="H41" s="19" t="s">
        <v>1</v>
      </c>
      <c r="I41" s="19" t="s">
        <v>0</v>
      </c>
      <c r="J41" s="5" t="s">
        <v>71</v>
      </c>
      <c r="K41" s="5" t="s">
        <v>55</v>
      </c>
      <c r="L41" s="22" t="str">
        <f>+VLOOKUP(K41,'[1]BASE DE PROVEEDORES'!$A:$B,2,0)</f>
        <v xml:space="preserve">DISTRIBUIDORA DE LUBRICANTES Y COMBUSTIBLES S.A DE C.V </v>
      </c>
      <c r="M41" s="25">
        <f>6.56+3.28</f>
        <v>9.84</v>
      </c>
      <c r="N41" s="5" t="s">
        <v>2</v>
      </c>
      <c r="O41" s="5" t="s">
        <v>2</v>
      </c>
      <c r="P41" s="6">
        <v>74.8</v>
      </c>
      <c r="Q41" s="5" t="s">
        <v>2</v>
      </c>
      <c r="R41" s="18" t="s">
        <v>2</v>
      </c>
      <c r="S41" s="18" t="s">
        <v>2</v>
      </c>
      <c r="T41" s="12">
        <v>9.7200000000000006</v>
      </c>
      <c r="U41" s="13">
        <f t="shared" si="4"/>
        <v>94.36</v>
      </c>
      <c r="V41" s="19" t="s">
        <v>3</v>
      </c>
      <c r="X41" s="3">
        <f t="shared" si="2"/>
        <v>9.7200000000000006</v>
      </c>
    </row>
    <row r="42" spans="1:24" hidden="1" x14ac:dyDescent="0.25">
      <c r="A42" s="5" t="s">
        <v>25</v>
      </c>
      <c r="C42" s="19" t="s">
        <v>70</v>
      </c>
      <c r="D42" s="20" t="s">
        <v>0</v>
      </c>
      <c r="E42" s="19" t="s">
        <v>21</v>
      </c>
      <c r="F42" s="19" t="s">
        <v>22</v>
      </c>
      <c r="G42" s="4" t="str">
        <f t="shared" si="3"/>
        <v>30/03/2021</v>
      </c>
      <c r="H42" s="19" t="s">
        <v>1</v>
      </c>
      <c r="I42" s="19" t="s">
        <v>0</v>
      </c>
      <c r="J42" s="5" t="s">
        <v>85</v>
      </c>
      <c r="K42" s="5" t="s">
        <v>55</v>
      </c>
      <c r="L42" s="22" t="str">
        <f>+VLOOKUP(K42,'[1]BASE DE PROVEEDORES'!$A:$B,2,0)</f>
        <v xml:space="preserve">DISTRIBUIDORA DE LUBRICANTES Y COMBUSTIBLES S.A DE C.V </v>
      </c>
      <c r="M42" s="25">
        <f>5.8+2.9</f>
        <v>8.6999999999999993</v>
      </c>
      <c r="N42" s="5" t="s">
        <v>2</v>
      </c>
      <c r="O42" s="5" t="s">
        <v>2</v>
      </c>
      <c r="P42" s="6">
        <v>66.14</v>
      </c>
      <c r="Q42" s="5" t="s">
        <v>2</v>
      </c>
      <c r="R42" s="18" t="s">
        <v>2</v>
      </c>
      <c r="S42" s="18" t="s">
        <v>2</v>
      </c>
      <c r="T42" s="12">
        <v>8.6</v>
      </c>
      <c r="U42" s="13">
        <f t="shared" si="4"/>
        <v>83.44</v>
      </c>
      <c r="V42" s="19" t="s">
        <v>3</v>
      </c>
      <c r="X42" s="3">
        <f t="shared" si="2"/>
        <v>8.6</v>
      </c>
    </row>
    <row r="43" spans="1:24" hidden="1" x14ac:dyDescent="0.25">
      <c r="A43" s="5" t="s">
        <v>25</v>
      </c>
      <c r="C43" s="19" t="s">
        <v>70</v>
      </c>
      <c r="D43" s="20" t="s">
        <v>0</v>
      </c>
      <c r="E43" s="19" t="s">
        <v>21</v>
      </c>
      <c r="F43" s="19" t="s">
        <v>22</v>
      </c>
      <c r="G43" s="4" t="str">
        <f t="shared" si="3"/>
        <v>30/03/2021</v>
      </c>
      <c r="H43" s="19" t="s">
        <v>1</v>
      </c>
      <c r="I43" s="19" t="s">
        <v>0</v>
      </c>
      <c r="J43" s="5" t="s">
        <v>102</v>
      </c>
      <c r="K43" s="5" t="s">
        <v>55</v>
      </c>
      <c r="L43" s="22" t="str">
        <f>+VLOOKUP(K43,'[1]BASE DE PROVEEDORES'!$A:$B,2,0)</f>
        <v xml:space="preserve">DISTRIBUIDORA DE LUBRICANTES Y COMBUSTIBLES S.A DE C.V </v>
      </c>
      <c r="M43" s="25">
        <f>9.86+4.93</f>
        <v>14.79</v>
      </c>
      <c r="N43" s="5" t="s">
        <v>2</v>
      </c>
      <c r="O43" s="5" t="s">
        <v>2</v>
      </c>
      <c r="P43" s="6">
        <v>112.41</v>
      </c>
      <c r="Q43" s="5" t="s">
        <v>2</v>
      </c>
      <c r="R43" s="18" t="s">
        <v>2</v>
      </c>
      <c r="S43" s="18" t="s">
        <v>2</v>
      </c>
      <c r="T43" s="12">
        <v>14.61</v>
      </c>
      <c r="U43" s="13">
        <f t="shared" si="4"/>
        <v>141.81</v>
      </c>
      <c r="V43" s="19" t="s">
        <v>3</v>
      </c>
      <c r="X43" s="3">
        <f t="shared" si="2"/>
        <v>14.61</v>
      </c>
    </row>
    <row r="44" spans="1:24" hidden="1" x14ac:dyDescent="0.25">
      <c r="A44" s="5" t="s">
        <v>25</v>
      </c>
      <c r="B44" s="18" t="s">
        <v>124</v>
      </c>
      <c r="C44" s="20" t="str">
        <f>+LEFT(B44,2)</f>
        <v>30</v>
      </c>
      <c r="D44" s="20" t="str">
        <f>+RIGHT(B44,2)</f>
        <v>03</v>
      </c>
      <c r="E44" s="19" t="s">
        <v>21</v>
      </c>
      <c r="F44" s="19" t="s">
        <v>22</v>
      </c>
      <c r="G44" s="4" t="str">
        <f t="shared" si="3"/>
        <v>30/03/2021</v>
      </c>
      <c r="H44" s="19" t="s">
        <v>1</v>
      </c>
      <c r="I44" s="19" t="s">
        <v>0</v>
      </c>
      <c r="J44" s="5" t="s">
        <v>125</v>
      </c>
      <c r="K44" s="5" t="s">
        <v>55</v>
      </c>
      <c r="L44" s="22" t="str">
        <f>+VLOOKUP(K44,'[1]BASE DE PROVEEDORES'!$A:$B,2,0)</f>
        <v xml:space="preserve">DISTRIBUIDORA DE LUBRICANTES Y COMBUSTIBLES S.A DE C.V </v>
      </c>
      <c r="M44" s="25">
        <f>9.9+4.95</f>
        <v>14.850000000000001</v>
      </c>
      <c r="N44" s="5" t="s">
        <v>2</v>
      </c>
      <c r="O44" s="5" t="s">
        <v>2</v>
      </c>
      <c r="P44" s="6">
        <v>112.84</v>
      </c>
      <c r="Q44" s="5" t="s">
        <v>2</v>
      </c>
      <c r="R44" s="18" t="s">
        <v>2</v>
      </c>
      <c r="S44" s="18" t="s">
        <v>2</v>
      </c>
      <c r="T44" s="12">
        <v>14.67</v>
      </c>
      <c r="U44" s="13">
        <f t="shared" si="4"/>
        <v>142.35999999999999</v>
      </c>
      <c r="V44" s="19" t="s">
        <v>3</v>
      </c>
      <c r="X44" s="3">
        <f t="shared" si="2"/>
        <v>14.67</v>
      </c>
    </row>
    <row r="45" spans="1:24" hidden="1" x14ac:dyDescent="0.25">
      <c r="A45" s="5" t="s">
        <v>25</v>
      </c>
      <c r="B45" s="18" t="s">
        <v>209</v>
      </c>
      <c r="C45" s="20" t="str">
        <f>+LEFT(B45,2)</f>
        <v>31</v>
      </c>
      <c r="D45" s="20" t="str">
        <f>+RIGHT(B45,2)</f>
        <v>03</v>
      </c>
      <c r="E45" s="19" t="s">
        <v>21</v>
      </c>
      <c r="F45" s="19" t="s">
        <v>22</v>
      </c>
      <c r="G45" s="4" t="str">
        <f t="shared" si="3"/>
        <v>31/03/2021</v>
      </c>
      <c r="H45" s="19" t="s">
        <v>1</v>
      </c>
      <c r="I45" s="19" t="s">
        <v>0</v>
      </c>
      <c r="J45" s="5" t="s">
        <v>210</v>
      </c>
      <c r="K45" s="5" t="s">
        <v>192</v>
      </c>
      <c r="L45" s="22" t="str">
        <f>+VLOOKUP(K45,'[1]BASE DE PROVEEDORES'!$A:$B,2,0)</f>
        <v>REPUESTOS NOE S.A DE C.V.</v>
      </c>
      <c r="M45" s="25">
        <v>0</v>
      </c>
      <c r="N45" s="5" t="s">
        <v>2</v>
      </c>
      <c r="O45" s="5" t="s">
        <v>2</v>
      </c>
      <c r="P45" s="6">
        <v>280</v>
      </c>
      <c r="Q45" s="5" t="s">
        <v>2</v>
      </c>
      <c r="R45" s="18" t="s">
        <v>2</v>
      </c>
      <c r="S45" s="18" t="s">
        <v>2</v>
      </c>
      <c r="T45" s="12">
        <v>36.4</v>
      </c>
      <c r="U45" s="13">
        <f t="shared" si="4"/>
        <v>316.39999999999998</v>
      </c>
      <c r="V45" s="19" t="s">
        <v>3</v>
      </c>
      <c r="X45" s="3">
        <f t="shared" si="2"/>
        <v>36.4</v>
      </c>
    </row>
    <row r="46" spans="1:24" hidden="1" x14ac:dyDescent="0.25">
      <c r="A46" s="5" t="s">
        <v>25</v>
      </c>
      <c r="C46" s="19" t="s">
        <v>38</v>
      </c>
      <c r="D46" s="20" t="s">
        <v>28</v>
      </c>
      <c r="E46" s="19" t="s">
        <v>21</v>
      </c>
      <c r="F46" s="19" t="s">
        <v>22</v>
      </c>
      <c r="G46" s="4" t="str">
        <f t="shared" si="3"/>
        <v>01/04/2021</v>
      </c>
      <c r="H46" s="19" t="s">
        <v>1</v>
      </c>
      <c r="I46" s="19" t="s">
        <v>0</v>
      </c>
      <c r="J46" s="5" t="s">
        <v>39</v>
      </c>
      <c r="K46" s="5" t="s">
        <v>32</v>
      </c>
      <c r="L46" s="22" t="str">
        <f>+VLOOKUP(K46,'[1]BASE DE PROVEEDORES'!$A:$B,2,0)</f>
        <v>ALEJANDRO FRANCISCO MONTOYA GIRON</v>
      </c>
      <c r="M46" s="25">
        <v>2.31</v>
      </c>
      <c r="N46" s="5" t="s">
        <v>2</v>
      </c>
      <c r="O46" s="5" t="s">
        <v>2</v>
      </c>
      <c r="P46" s="6">
        <v>21.9</v>
      </c>
      <c r="Q46" s="5" t="s">
        <v>2</v>
      </c>
      <c r="R46" s="18" t="s">
        <v>2</v>
      </c>
      <c r="S46" s="18" t="s">
        <v>2</v>
      </c>
      <c r="T46" s="12">
        <v>2.85</v>
      </c>
      <c r="U46" s="13">
        <f t="shared" si="4"/>
        <v>27.06</v>
      </c>
      <c r="V46" s="19" t="s">
        <v>3</v>
      </c>
      <c r="X46" s="3">
        <f t="shared" si="2"/>
        <v>2.85</v>
      </c>
    </row>
    <row r="47" spans="1:24" hidden="1" x14ac:dyDescent="0.25">
      <c r="A47" s="5" t="s">
        <v>25</v>
      </c>
      <c r="C47" s="19" t="s">
        <v>38</v>
      </c>
      <c r="D47" s="20" t="s">
        <v>28</v>
      </c>
      <c r="E47" s="19" t="s">
        <v>21</v>
      </c>
      <c r="F47" s="19" t="s">
        <v>22</v>
      </c>
      <c r="G47" s="4" t="str">
        <f t="shared" si="3"/>
        <v>01/04/2021</v>
      </c>
      <c r="H47" s="19" t="s">
        <v>1</v>
      </c>
      <c r="I47" s="19" t="s">
        <v>0</v>
      </c>
      <c r="J47" s="5" t="s">
        <v>97</v>
      </c>
      <c r="K47" s="5" t="s">
        <v>55</v>
      </c>
      <c r="L47" s="22" t="str">
        <f>+VLOOKUP(K47,'[1]BASE DE PROVEEDORES'!$A:$B,2,0)</f>
        <v xml:space="preserve">DISTRIBUIDORA DE LUBRICANTES Y COMBUSTIBLES S.A DE C.V </v>
      </c>
      <c r="M47" s="25">
        <f>10.17+5.09</f>
        <v>15.26</v>
      </c>
      <c r="N47" s="5" t="s">
        <v>2</v>
      </c>
      <c r="O47" s="5" t="s">
        <v>2</v>
      </c>
      <c r="P47" s="6">
        <v>115.97</v>
      </c>
      <c r="Q47" s="5" t="s">
        <v>2</v>
      </c>
      <c r="R47" s="18" t="s">
        <v>2</v>
      </c>
      <c r="S47" s="18" t="s">
        <v>2</v>
      </c>
      <c r="T47" s="12">
        <v>15.08</v>
      </c>
      <c r="U47" s="13">
        <f t="shared" si="4"/>
        <v>146.31</v>
      </c>
      <c r="V47" s="19" t="s">
        <v>3</v>
      </c>
      <c r="X47" s="3">
        <f t="shared" si="2"/>
        <v>15.08</v>
      </c>
    </row>
    <row r="48" spans="1:24" hidden="1" x14ac:dyDescent="0.25">
      <c r="A48" s="5" t="s">
        <v>25</v>
      </c>
      <c r="C48" s="19" t="s">
        <v>38</v>
      </c>
      <c r="D48" s="20" t="s">
        <v>28</v>
      </c>
      <c r="E48" s="19" t="s">
        <v>21</v>
      </c>
      <c r="F48" s="19" t="s">
        <v>22</v>
      </c>
      <c r="G48" s="4" t="str">
        <f t="shared" si="3"/>
        <v>01/04/2021</v>
      </c>
      <c r="H48" s="19" t="s">
        <v>1</v>
      </c>
      <c r="I48" s="19" t="s">
        <v>0</v>
      </c>
      <c r="J48" s="5" t="s">
        <v>101</v>
      </c>
      <c r="K48" s="5" t="s">
        <v>55</v>
      </c>
      <c r="L48" s="22" t="str">
        <f>+VLOOKUP(K48,'[1]BASE DE PROVEEDORES'!$A:$B,2,0)</f>
        <v xml:space="preserve">DISTRIBUIDORA DE LUBRICANTES Y COMBUSTIBLES S.A DE C.V </v>
      </c>
      <c r="M48" s="25">
        <f>26.22+13.11</f>
        <v>39.33</v>
      </c>
      <c r="N48" s="5" t="s">
        <v>2</v>
      </c>
      <c r="O48" s="5" t="s">
        <v>2</v>
      </c>
      <c r="P48" s="6">
        <v>298.99</v>
      </c>
      <c r="Q48" s="5" t="s">
        <v>2</v>
      </c>
      <c r="R48" s="18" t="s">
        <v>2</v>
      </c>
      <c r="S48" s="18" t="s">
        <v>2</v>
      </c>
      <c r="T48" s="12">
        <v>38.869999999999997</v>
      </c>
      <c r="U48" s="13">
        <f t="shared" si="4"/>
        <v>377.19</v>
      </c>
      <c r="V48" s="19" t="s">
        <v>3</v>
      </c>
      <c r="X48" s="3">
        <f t="shared" si="2"/>
        <v>38.869999999999997</v>
      </c>
    </row>
    <row r="49" spans="1:24" hidden="1" x14ac:dyDescent="0.25">
      <c r="A49" s="5" t="s">
        <v>25</v>
      </c>
      <c r="B49" s="18" t="s">
        <v>167</v>
      </c>
      <c r="C49" s="20" t="str">
        <f>+LEFT(B49,2)</f>
        <v>02</v>
      </c>
      <c r="D49" s="20" t="str">
        <f>+RIGHT(B49,2)</f>
        <v>04</v>
      </c>
      <c r="E49" s="19" t="s">
        <v>21</v>
      </c>
      <c r="F49" s="19" t="s">
        <v>22</v>
      </c>
      <c r="G49" s="4" t="str">
        <f t="shared" si="3"/>
        <v>02/04/2021</v>
      </c>
      <c r="H49" s="19" t="s">
        <v>1</v>
      </c>
      <c r="I49" s="19" t="s">
        <v>0</v>
      </c>
      <c r="J49" s="5" t="s">
        <v>168</v>
      </c>
      <c r="K49" s="5" t="s">
        <v>169</v>
      </c>
      <c r="L49" s="22" t="str">
        <f>+VLOOKUP(K49,'[1]BASE DE PROVEEDORES'!$A:$B,2,0)</f>
        <v>CORPORACION LEMUS S.A DE C.V.</v>
      </c>
      <c r="M49" s="25">
        <v>0</v>
      </c>
      <c r="N49" s="5" t="s">
        <v>2</v>
      </c>
      <c r="O49" s="5" t="s">
        <v>2</v>
      </c>
      <c r="P49" s="6">
        <v>19.38</v>
      </c>
      <c r="Q49" s="5" t="s">
        <v>2</v>
      </c>
      <c r="R49" s="18" t="s">
        <v>2</v>
      </c>
      <c r="S49" s="18" t="s">
        <v>2</v>
      </c>
      <c r="T49" s="12">
        <v>2.52</v>
      </c>
      <c r="U49" s="13">
        <f t="shared" si="4"/>
        <v>21.9</v>
      </c>
      <c r="V49" s="19" t="s">
        <v>3</v>
      </c>
      <c r="X49" s="3">
        <f t="shared" si="2"/>
        <v>2.52</v>
      </c>
    </row>
    <row r="50" spans="1:24" hidden="1" x14ac:dyDescent="0.25">
      <c r="A50" s="5" t="s">
        <v>25</v>
      </c>
      <c r="C50" s="19" t="s">
        <v>28</v>
      </c>
      <c r="D50" s="20" t="s">
        <v>28</v>
      </c>
      <c r="E50" s="19" t="s">
        <v>21</v>
      </c>
      <c r="F50" s="19" t="s">
        <v>22</v>
      </c>
      <c r="G50" s="4" t="str">
        <f t="shared" si="3"/>
        <v>04/04/2021</v>
      </c>
      <c r="H50" s="19" t="s">
        <v>1</v>
      </c>
      <c r="I50" s="19" t="s">
        <v>0</v>
      </c>
      <c r="J50" s="5" t="s">
        <v>89</v>
      </c>
      <c r="K50" s="5" t="s">
        <v>55</v>
      </c>
      <c r="L50" s="22" t="str">
        <f>+VLOOKUP(K50,'[1]BASE DE PROVEEDORES'!$A:$B,2,0)</f>
        <v xml:space="preserve">DISTRIBUIDORA DE LUBRICANTES Y COMBUSTIBLES S.A DE C.V </v>
      </c>
      <c r="M50" s="25">
        <f>1.46+0.73</f>
        <v>2.19</v>
      </c>
      <c r="N50" s="5" t="s">
        <v>2</v>
      </c>
      <c r="O50" s="5" t="s">
        <v>2</v>
      </c>
      <c r="P50" s="6">
        <v>20.190000000000001</v>
      </c>
      <c r="Q50" s="5" t="s">
        <v>2</v>
      </c>
      <c r="R50" s="18" t="s">
        <v>2</v>
      </c>
      <c r="S50" s="18" t="s">
        <v>2</v>
      </c>
      <c r="T50" s="12">
        <v>2.62</v>
      </c>
      <c r="U50" s="13">
        <f t="shared" si="4"/>
        <v>25.000000000000004</v>
      </c>
      <c r="V50" s="19" t="s">
        <v>3</v>
      </c>
      <c r="X50" s="3">
        <f t="shared" si="2"/>
        <v>2.62</v>
      </c>
    </row>
    <row r="51" spans="1:24" hidden="1" x14ac:dyDescent="0.25">
      <c r="A51" s="5" t="s">
        <v>25</v>
      </c>
      <c r="B51" s="18" t="s">
        <v>188</v>
      </c>
      <c r="C51" s="20" t="str">
        <f>+LEFT(B51,2)</f>
        <v>04</v>
      </c>
      <c r="D51" s="20" t="str">
        <f>+RIGHT(B51,2)</f>
        <v>04</v>
      </c>
      <c r="E51" s="19" t="s">
        <v>21</v>
      </c>
      <c r="F51" s="19" t="s">
        <v>22</v>
      </c>
      <c r="G51" s="4" t="str">
        <f t="shared" si="3"/>
        <v>04/04/2021</v>
      </c>
      <c r="H51" s="19" t="s">
        <v>1</v>
      </c>
      <c r="I51" s="19" t="s">
        <v>0</v>
      </c>
      <c r="J51" s="5" t="s">
        <v>189</v>
      </c>
      <c r="K51" s="5" t="s">
        <v>190</v>
      </c>
      <c r="L51" s="22" t="str">
        <f>+VLOOKUP(K51,'[1]BASE DE PROVEEDORES'!$A:$B,2,0)</f>
        <v>LLANTAS Y ACCESORIOS S.A DE C.V.</v>
      </c>
      <c r="M51" s="25">
        <v>0</v>
      </c>
      <c r="N51" s="5" t="s">
        <v>2</v>
      </c>
      <c r="O51" s="5" t="s">
        <v>2</v>
      </c>
      <c r="P51" s="6">
        <v>70.8</v>
      </c>
      <c r="Q51" s="5" t="s">
        <v>2</v>
      </c>
      <c r="R51" s="18" t="s">
        <v>2</v>
      </c>
      <c r="S51" s="18" t="s">
        <v>2</v>
      </c>
      <c r="T51" s="12">
        <v>9.1999999999999993</v>
      </c>
      <c r="U51" s="13">
        <f t="shared" si="4"/>
        <v>80</v>
      </c>
      <c r="V51" s="19" t="s">
        <v>3</v>
      </c>
      <c r="X51" s="3">
        <f t="shared" si="2"/>
        <v>9.1999999999999993</v>
      </c>
    </row>
    <row r="52" spans="1:24" hidden="1" x14ac:dyDescent="0.25">
      <c r="A52" s="5" t="s">
        <v>25</v>
      </c>
      <c r="B52" s="18" t="s">
        <v>188</v>
      </c>
      <c r="C52" s="20" t="str">
        <f>+LEFT(B52,2)</f>
        <v>04</v>
      </c>
      <c r="D52" s="20" t="str">
        <f>+RIGHT(B52,2)</f>
        <v>04</v>
      </c>
      <c r="E52" s="19" t="s">
        <v>21</v>
      </c>
      <c r="F52" s="19" t="s">
        <v>22</v>
      </c>
      <c r="G52" s="4" t="str">
        <f t="shared" si="3"/>
        <v>04/04/2021</v>
      </c>
      <c r="H52" s="19" t="s">
        <v>1</v>
      </c>
      <c r="I52" s="19" t="s">
        <v>0</v>
      </c>
      <c r="J52" s="5" t="s">
        <v>229</v>
      </c>
      <c r="K52" s="5" t="s">
        <v>190</v>
      </c>
      <c r="L52" s="22" t="str">
        <f>+VLOOKUP(K52,'[1]BASE DE PROVEEDORES'!$A:$B,2,0)</f>
        <v>LLANTAS Y ACCESORIOS S.A DE C.V.</v>
      </c>
      <c r="M52" s="25">
        <v>0</v>
      </c>
      <c r="N52" s="5" t="s">
        <v>2</v>
      </c>
      <c r="O52" s="5" t="s">
        <v>2</v>
      </c>
      <c r="P52" s="24">
        <v>53.1</v>
      </c>
      <c r="Q52" s="5" t="s">
        <v>2</v>
      </c>
      <c r="R52" s="18" t="s">
        <v>2</v>
      </c>
      <c r="S52" s="18" t="s">
        <v>2</v>
      </c>
      <c r="T52" s="12">
        <v>6.9</v>
      </c>
      <c r="U52" s="13">
        <f t="shared" si="4"/>
        <v>60</v>
      </c>
      <c r="V52" s="19" t="s">
        <v>3</v>
      </c>
      <c r="X52" s="3">
        <f t="shared" si="2"/>
        <v>6.9</v>
      </c>
    </row>
    <row r="53" spans="1:24" hidden="1" x14ac:dyDescent="0.25">
      <c r="A53" s="5" t="s">
        <v>25</v>
      </c>
      <c r="C53" s="19" t="s">
        <v>72</v>
      </c>
      <c r="D53" s="20" t="s">
        <v>28</v>
      </c>
      <c r="E53" s="19" t="s">
        <v>21</v>
      </c>
      <c r="F53" s="19" t="s">
        <v>22</v>
      </c>
      <c r="G53" s="4" t="str">
        <f t="shared" si="3"/>
        <v>05/04/2021</v>
      </c>
      <c r="H53" s="19" t="s">
        <v>1</v>
      </c>
      <c r="I53" s="19" t="s">
        <v>0</v>
      </c>
      <c r="J53" s="5" t="s">
        <v>73</v>
      </c>
      <c r="K53" s="5" t="s">
        <v>55</v>
      </c>
      <c r="L53" s="22" t="str">
        <f>+VLOOKUP(K53,'[1]BASE DE PROVEEDORES'!$A:$B,2,0)</f>
        <v xml:space="preserve">DISTRIBUIDORA DE LUBRICANTES Y COMBUSTIBLES S.A DE C.V </v>
      </c>
      <c r="M53" s="25">
        <f>9.72+4.86</f>
        <v>14.580000000000002</v>
      </c>
      <c r="N53" s="5" t="s">
        <v>2</v>
      </c>
      <c r="O53" s="5" t="s">
        <v>2</v>
      </c>
      <c r="P53" s="6">
        <v>110.85</v>
      </c>
      <c r="Q53" s="5" t="s">
        <v>2</v>
      </c>
      <c r="R53" s="18" t="s">
        <v>2</v>
      </c>
      <c r="S53" s="18" t="s">
        <v>2</v>
      </c>
      <c r="T53" s="12">
        <v>14.41</v>
      </c>
      <c r="U53" s="13">
        <f t="shared" si="4"/>
        <v>139.84</v>
      </c>
      <c r="V53" s="19" t="s">
        <v>3</v>
      </c>
      <c r="X53" s="3">
        <f t="shared" si="2"/>
        <v>14.41</v>
      </c>
    </row>
    <row r="54" spans="1:24" hidden="1" x14ac:dyDescent="0.25">
      <c r="A54" s="5" t="s">
        <v>25</v>
      </c>
      <c r="C54" s="19" t="s">
        <v>72</v>
      </c>
      <c r="D54" s="20" t="s">
        <v>28</v>
      </c>
      <c r="E54" s="19" t="s">
        <v>21</v>
      </c>
      <c r="F54" s="19" t="s">
        <v>22</v>
      </c>
      <c r="G54" s="4" t="str">
        <f t="shared" si="3"/>
        <v>05/04/2021</v>
      </c>
      <c r="H54" s="19" t="s">
        <v>1</v>
      </c>
      <c r="I54" s="19" t="s">
        <v>0</v>
      </c>
      <c r="J54" s="5" t="s">
        <v>95</v>
      </c>
      <c r="K54" s="5" t="s">
        <v>55</v>
      </c>
      <c r="L54" s="22" t="str">
        <f>+VLOOKUP(K54,'[1]BASE DE PROVEEDORES'!$A:$B,2,0)</f>
        <v xml:space="preserve">DISTRIBUIDORA DE LUBRICANTES Y COMBUSTIBLES S.A DE C.V </v>
      </c>
      <c r="M54" s="25">
        <f>9.03+4.51</f>
        <v>13.54</v>
      </c>
      <c r="N54" s="5" t="s">
        <v>2</v>
      </c>
      <c r="O54" s="5" t="s">
        <v>2</v>
      </c>
      <c r="P54" s="6">
        <v>102.95</v>
      </c>
      <c r="Q54" s="5" t="s">
        <v>2</v>
      </c>
      <c r="R54" s="18" t="s">
        <v>2</v>
      </c>
      <c r="S54" s="18" t="s">
        <v>2</v>
      </c>
      <c r="T54" s="12">
        <v>13.38</v>
      </c>
      <c r="U54" s="13">
        <f t="shared" si="4"/>
        <v>129.87</v>
      </c>
      <c r="V54" s="19" t="s">
        <v>3</v>
      </c>
      <c r="X54" s="3">
        <f t="shared" si="2"/>
        <v>13.38</v>
      </c>
    </row>
    <row r="55" spans="1:24" hidden="1" x14ac:dyDescent="0.25">
      <c r="A55" s="5" t="s">
        <v>25</v>
      </c>
      <c r="C55" s="19" t="s">
        <v>72</v>
      </c>
      <c r="D55" s="20" t="s">
        <v>28</v>
      </c>
      <c r="E55" s="19" t="s">
        <v>21</v>
      </c>
      <c r="F55" s="19" t="s">
        <v>22</v>
      </c>
      <c r="G55" s="4" t="str">
        <f t="shared" si="3"/>
        <v>05/04/2021</v>
      </c>
      <c r="H55" s="19" t="s">
        <v>1</v>
      </c>
      <c r="I55" s="19" t="s">
        <v>0</v>
      </c>
      <c r="J55" s="5" t="s">
        <v>96</v>
      </c>
      <c r="K55" s="5" t="s">
        <v>55</v>
      </c>
      <c r="L55" s="22" t="str">
        <f>+VLOOKUP(K55,'[1]BASE DE PROVEEDORES'!$A:$B,2,0)</f>
        <v xml:space="preserve">DISTRIBUIDORA DE LUBRICANTES Y COMBUSTIBLES S.A DE C.V </v>
      </c>
      <c r="M55" s="25">
        <f>3.3+1.65</f>
        <v>4.9499999999999993</v>
      </c>
      <c r="N55" s="5" t="s">
        <v>2</v>
      </c>
      <c r="O55" s="5" t="s">
        <v>2</v>
      </c>
      <c r="P55" s="6">
        <v>37.65</v>
      </c>
      <c r="Q55" s="5" t="s">
        <v>2</v>
      </c>
      <c r="R55" s="18" t="s">
        <v>2</v>
      </c>
      <c r="S55" s="18" t="s">
        <v>2</v>
      </c>
      <c r="T55" s="12">
        <v>4.8899999999999997</v>
      </c>
      <c r="U55" s="13">
        <f t="shared" si="4"/>
        <v>47.489999999999995</v>
      </c>
      <c r="V55" s="19" t="s">
        <v>3</v>
      </c>
      <c r="X55" s="3">
        <f t="shared" si="2"/>
        <v>4.8899999999999997</v>
      </c>
    </row>
    <row r="56" spans="1:24" hidden="1" x14ac:dyDescent="0.25">
      <c r="A56" s="5" t="s">
        <v>25</v>
      </c>
      <c r="B56" s="18" t="s">
        <v>181</v>
      </c>
      <c r="C56" s="20" t="str">
        <f>+LEFT(B56,2)</f>
        <v>05</v>
      </c>
      <c r="D56" s="20" t="str">
        <f>+RIGHT(B56,2)</f>
        <v>04</v>
      </c>
      <c r="E56" s="19" t="s">
        <v>21</v>
      </c>
      <c r="F56" s="19" t="s">
        <v>22</v>
      </c>
      <c r="G56" s="4" t="str">
        <f t="shared" si="3"/>
        <v>05/04/2021</v>
      </c>
      <c r="H56" s="19" t="s">
        <v>1</v>
      </c>
      <c r="I56" s="19" t="s">
        <v>0</v>
      </c>
      <c r="J56" s="5" t="s">
        <v>182</v>
      </c>
      <c r="K56" s="5" t="s">
        <v>183</v>
      </c>
      <c r="L56" s="22" t="str">
        <f>+VLOOKUP(K56,'[1]BASE DE PROVEEDORES'!$A:$B,2,0)</f>
        <v>DISTRIBUIDORA PAREDES VELA S.A DE C.V.</v>
      </c>
      <c r="M56" s="25">
        <v>0</v>
      </c>
      <c r="N56" s="5" t="s">
        <v>2</v>
      </c>
      <c r="O56" s="5" t="s">
        <v>2</v>
      </c>
      <c r="P56" s="6">
        <v>44.29</v>
      </c>
      <c r="Q56" s="5" t="s">
        <v>2</v>
      </c>
      <c r="R56" s="18" t="s">
        <v>2</v>
      </c>
      <c r="S56" s="18" t="s">
        <v>2</v>
      </c>
      <c r="T56" s="12">
        <v>5.76</v>
      </c>
      <c r="U56" s="13">
        <f t="shared" si="4"/>
        <v>50.05</v>
      </c>
      <c r="V56" s="19" t="s">
        <v>3</v>
      </c>
      <c r="X56" s="3">
        <f t="shared" si="2"/>
        <v>5.76</v>
      </c>
    </row>
    <row r="57" spans="1:24" hidden="1" x14ac:dyDescent="0.25">
      <c r="A57" s="5" t="s">
        <v>25</v>
      </c>
      <c r="C57" s="19" t="s">
        <v>24</v>
      </c>
      <c r="D57" s="20" t="s">
        <v>28</v>
      </c>
      <c r="E57" s="19" t="s">
        <v>21</v>
      </c>
      <c r="F57" s="19" t="s">
        <v>22</v>
      </c>
      <c r="G57" s="4" t="str">
        <f t="shared" si="3"/>
        <v>06/04/2021</v>
      </c>
      <c r="H57" s="19" t="s">
        <v>1</v>
      </c>
      <c r="I57" s="19" t="s">
        <v>0</v>
      </c>
      <c r="J57" s="5" t="s">
        <v>93</v>
      </c>
      <c r="K57" s="5" t="s">
        <v>55</v>
      </c>
      <c r="L57" s="22" t="str">
        <f>+VLOOKUP(K57,'[1]BASE DE PROVEEDORES'!$A:$B,2,0)</f>
        <v xml:space="preserve">DISTRIBUIDORA DE LUBRICANTES Y COMBUSTIBLES S.A DE C.V </v>
      </c>
      <c r="M57" s="25">
        <f>3.33+1.66</f>
        <v>4.99</v>
      </c>
      <c r="N57" s="5" t="s">
        <v>2</v>
      </c>
      <c r="O57" s="5" t="s">
        <v>2</v>
      </c>
      <c r="P57" s="6">
        <v>37.24</v>
      </c>
      <c r="Q57" s="5" t="s">
        <v>2</v>
      </c>
      <c r="R57" s="18" t="s">
        <v>2</v>
      </c>
      <c r="S57" s="18" t="s">
        <v>2</v>
      </c>
      <c r="T57" s="12">
        <v>4.84</v>
      </c>
      <c r="U57" s="13">
        <f t="shared" si="4"/>
        <v>47.070000000000007</v>
      </c>
      <c r="V57" s="19" t="s">
        <v>3</v>
      </c>
      <c r="X57" s="3">
        <f t="shared" si="2"/>
        <v>4.84</v>
      </c>
    </row>
    <row r="58" spans="1:24" hidden="1" x14ac:dyDescent="0.25">
      <c r="A58" s="5" t="s">
        <v>25</v>
      </c>
      <c r="C58" s="19" t="s">
        <v>24</v>
      </c>
      <c r="D58" s="20" t="s">
        <v>28</v>
      </c>
      <c r="E58" s="19" t="s">
        <v>21</v>
      </c>
      <c r="F58" s="19" t="s">
        <v>22</v>
      </c>
      <c r="G58" s="4" t="str">
        <f t="shared" si="3"/>
        <v>06/04/2021</v>
      </c>
      <c r="H58" s="19" t="s">
        <v>1</v>
      </c>
      <c r="I58" s="19" t="s">
        <v>0</v>
      </c>
      <c r="J58" s="5" t="s">
        <v>94</v>
      </c>
      <c r="K58" s="5" t="s">
        <v>55</v>
      </c>
      <c r="L58" s="22" t="str">
        <f>+VLOOKUP(K58,'[1]BASE DE PROVEEDORES'!$A:$B,2,0)</f>
        <v xml:space="preserve">DISTRIBUIDORA DE LUBRICANTES Y COMBUSTIBLES S.A DE C.V </v>
      </c>
      <c r="M58" s="25">
        <v>45</v>
      </c>
      <c r="N58" s="5" t="s">
        <v>2</v>
      </c>
      <c r="O58" s="5" t="s">
        <v>2</v>
      </c>
      <c r="P58" s="6">
        <v>335.7</v>
      </c>
      <c r="Q58" s="5" t="s">
        <v>2</v>
      </c>
      <c r="R58" s="18" t="s">
        <v>2</v>
      </c>
      <c r="S58" s="18" t="s">
        <v>2</v>
      </c>
      <c r="T58" s="12">
        <v>43.64</v>
      </c>
      <c r="U58" s="13">
        <f t="shared" si="4"/>
        <v>424.34</v>
      </c>
      <c r="V58" s="19" t="s">
        <v>3</v>
      </c>
      <c r="X58" s="3">
        <f t="shared" si="2"/>
        <v>43.64</v>
      </c>
    </row>
    <row r="59" spans="1:24" hidden="1" x14ac:dyDescent="0.25">
      <c r="A59" s="5" t="s">
        <v>25</v>
      </c>
      <c r="C59" s="19" t="s">
        <v>24</v>
      </c>
      <c r="D59" s="20" t="s">
        <v>28</v>
      </c>
      <c r="E59" s="19" t="s">
        <v>21</v>
      </c>
      <c r="F59" s="19" t="s">
        <v>22</v>
      </c>
      <c r="G59" s="4" t="str">
        <f t="shared" si="3"/>
        <v>06/04/2021</v>
      </c>
      <c r="H59" s="19" t="s">
        <v>1</v>
      </c>
      <c r="I59" s="19" t="s">
        <v>0</v>
      </c>
      <c r="J59" s="5" t="s">
        <v>100</v>
      </c>
      <c r="K59" s="5" t="s">
        <v>55</v>
      </c>
      <c r="L59" s="22" t="str">
        <f>+VLOOKUP(K59,'[1]BASE DE PROVEEDORES'!$A:$B,2,0)</f>
        <v xml:space="preserve">DISTRIBUIDORA DE LUBRICANTES Y COMBUSTIBLES S.A DE C.V </v>
      </c>
      <c r="M59" s="25">
        <f>28.71+14.36</f>
        <v>43.07</v>
      </c>
      <c r="N59" s="5" t="s">
        <v>2</v>
      </c>
      <c r="O59" s="5" t="s">
        <v>2</v>
      </c>
      <c r="P59" s="6">
        <v>321.29000000000002</v>
      </c>
      <c r="Q59" s="5" t="s">
        <v>2</v>
      </c>
      <c r="R59" s="18" t="s">
        <v>2</v>
      </c>
      <c r="S59" s="18" t="s">
        <v>2</v>
      </c>
      <c r="T59" s="12">
        <v>41.77</v>
      </c>
      <c r="U59" s="13">
        <f t="shared" si="4"/>
        <v>406.13</v>
      </c>
      <c r="V59" s="19" t="s">
        <v>3</v>
      </c>
      <c r="X59" s="3">
        <f t="shared" si="2"/>
        <v>41.77</v>
      </c>
    </row>
    <row r="60" spans="1:24" hidden="1" x14ac:dyDescent="0.25">
      <c r="A60" s="5" t="s">
        <v>25</v>
      </c>
      <c r="B60" s="18" t="s">
        <v>179</v>
      </c>
      <c r="C60" s="20" t="str">
        <f>+LEFT(B60,2)</f>
        <v>06</v>
      </c>
      <c r="D60" s="20" t="str">
        <f>+RIGHT(B60,2)</f>
        <v>04</v>
      </c>
      <c r="E60" s="19" t="s">
        <v>21</v>
      </c>
      <c r="F60" s="19" t="s">
        <v>22</v>
      </c>
      <c r="G60" s="4" t="str">
        <f t="shared" si="3"/>
        <v>06/04/2021</v>
      </c>
      <c r="H60" s="19" t="s">
        <v>1</v>
      </c>
      <c r="I60" s="19" t="s">
        <v>0</v>
      </c>
      <c r="J60" s="5" t="s">
        <v>180</v>
      </c>
      <c r="K60" s="5" t="s">
        <v>172</v>
      </c>
      <c r="L60" s="22" t="str">
        <f>+VLOOKUP(K60,'[1]BASE DE PROVEEDORES'!$A:$B,2,0)</f>
        <v>MUNFRE S.A DE C.V.</v>
      </c>
      <c r="M60" s="25">
        <v>0</v>
      </c>
      <c r="N60" s="5" t="s">
        <v>2</v>
      </c>
      <c r="O60" s="5" t="s">
        <v>2</v>
      </c>
      <c r="P60" s="6">
        <v>14.42</v>
      </c>
      <c r="Q60" s="5" t="s">
        <v>2</v>
      </c>
      <c r="R60" s="18" t="s">
        <v>2</v>
      </c>
      <c r="S60" s="18" t="s">
        <v>2</v>
      </c>
      <c r="T60" s="12">
        <v>1.87</v>
      </c>
      <c r="U60" s="13">
        <f t="shared" si="4"/>
        <v>16.29</v>
      </c>
      <c r="V60" s="19" t="s">
        <v>3</v>
      </c>
      <c r="X60" s="3">
        <f t="shared" si="2"/>
        <v>1.87</v>
      </c>
    </row>
    <row r="61" spans="1:24" hidden="1" x14ac:dyDescent="0.25">
      <c r="A61" s="5" t="s">
        <v>25</v>
      </c>
      <c r="B61" s="18" t="s">
        <v>179</v>
      </c>
      <c r="C61" s="20" t="str">
        <f>+LEFT(B61,2)</f>
        <v>06</v>
      </c>
      <c r="D61" s="20" t="str">
        <f>+RIGHT(B61,2)</f>
        <v>04</v>
      </c>
      <c r="E61" s="19" t="s">
        <v>21</v>
      </c>
      <c r="F61" s="19" t="s">
        <v>22</v>
      </c>
      <c r="G61" s="4" t="str">
        <f t="shared" si="3"/>
        <v>06/04/2021</v>
      </c>
      <c r="H61" s="19" t="s">
        <v>1</v>
      </c>
      <c r="I61" s="19" t="s">
        <v>0</v>
      </c>
      <c r="J61" s="5" t="s">
        <v>184</v>
      </c>
      <c r="K61" s="5" t="s">
        <v>185</v>
      </c>
      <c r="L61" s="22" t="str">
        <f>+VLOOKUP(K61,'[1]BASE DE PROVEEDORES'!$A:$B,2,0)</f>
        <v>FERRETERIA LA PALMA S.A DE C.V.</v>
      </c>
      <c r="M61" s="25">
        <v>0</v>
      </c>
      <c r="N61" s="5" t="s">
        <v>2</v>
      </c>
      <c r="O61" s="5" t="s">
        <v>2</v>
      </c>
      <c r="P61" s="6">
        <v>27.84</v>
      </c>
      <c r="Q61" s="5" t="s">
        <v>2</v>
      </c>
      <c r="R61" s="18" t="s">
        <v>2</v>
      </c>
      <c r="S61" s="18" t="s">
        <v>2</v>
      </c>
      <c r="T61" s="12">
        <v>3.62</v>
      </c>
      <c r="U61" s="13">
        <f t="shared" si="4"/>
        <v>31.46</v>
      </c>
      <c r="V61" s="19" t="s">
        <v>3</v>
      </c>
      <c r="X61" s="3">
        <f t="shared" si="2"/>
        <v>3.62</v>
      </c>
    </row>
    <row r="62" spans="1:24" hidden="1" x14ac:dyDescent="0.25">
      <c r="A62" s="5" t="s">
        <v>25</v>
      </c>
      <c r="B62" s="18" t="s">
        <v>179</v>
      </c>
      <c r="C62" s="20" t="str">
        <f>+LEFT(B62,2)</f>
        <v>06</v>
      </c>
      <c r="D62" s="20" t="str">
        <f>+RIGHT(B62,2)</f>
        <v>04</v>
      </c>
      <c r="E62" s="19" t="s">
        <v>21</v>
      </c>
      <c r="F62" s="19" t="s">
        <v>22</v>
      </c>
      <c r="G62" s="4" t="str">
        <f t="shared" si="3"/>
        <v>06/04/2021</v>
      </c>
      <c r="H62" s="19" t="s">
        <v>1</v>
      </c>
      <c r="I62" s="19" t="s">
        <v>0</v>
      </c>
      <c r="J62" s="5" t="s">
        <v>186</v>
      </c>
      <c r="K62" s="5" t="s">
        <v>187</v>
      </c>
      <c r="L62" s="22" t="str">
        <f>+VLOOKUP(K62,'[1]BASE DE PROVEEDORES'!$A:$B,2,0)</f>
        <v>REPUESTOS E IMPORTACIONES ACEITUNO</v>
      </c>
      <c r="M62" s="25">
        <v>0</v>
      </c>
      <c r="N62" s="5" t="s">
        <v>2</v>
      </c>
      <c r="O62" s="5" t="s">
        <v>2</v>
      </c>
      <c r="P62" s="6">
        <v>185.84</v>
      </c>
      <c r="Q62" s="5" t="s">
        <v>2</v>
      </c>
      <c r="R62" s="18" t="s">
        <v>2</v>
      </c>
      <c r="S62" s="18" t="s">
        <v>2</v>
      </c>
      <c r="T62" s="12">
        <v>24.16</v>
      </c>
      <c r="U62" s="13">
        <f t="shared" si="4"/>
        <v>210</v>
      </c>
      <c r="V62" s="19" t="s">
        <v>3</v>
      </c>
      <c r="X62" s="3">
        <f t="shared" si="2"/>
        <v>24.16</v>
      </c>
    </row>
    <row r="63" spans="1:24" hidden="1" x14ac:dyDescent="0.25">
      <c r="A63" s="5" t="s">
        <v>25</v>
      </c>
      <c r="B63" s="18" t="s">
        <v>179</v>
      </c>
      <c r="C63" s="20" t="str">
        <f>+LEFT(B63,2)</f>
        <v>06</v>
      </c>
      <c r="D63" s="20" t="str">
        <f>+RIGHT(B63,2)</f>
        <v>04</v>
      </c>
      <c r="E63" s="19" t="s">
        <v>21</v>
      </c>
      <c r="F63" s="19" t="s">
        <v>22</v>
      </c>
      <c r="G63" s="4" t="str">
        <f t="shared" si="3"/>
        <v>06/04/2021</v>
      </c>
      <c r="H63" s="19" t="s">
        <v>1</v>
      </c>
      <c r="I63" s="19" t="s">
        <v>0</v>
      </c>
      <c r="J63" s="5" t="s">
        <v>191</v>
      </c>
      <c r="K63" s="5" t="s">
        <v>192</v>
      </c>
      <c r="L63" s="22" t="str">
        <f>+VLOOKUP(K63,'[1]BASE DE PROVEEDORES'!$A:$B,2,0)</f>
        <v>REPUESTOS NOE S.A DE C.V.</v>
      </c>
      <c r="M63" s="25">
        <v>0</v>
      </c>
      <c r="N63" s="5" t="s">
        <v>2</v>
      </c>
      <c r="O63" s="5" t="s">
        <v>2</v>
      </c>
      <c r="P63" s="6">
        <v>220</v>
      </c>
      <c r="Q63" s="5" t="s">
        <v>2</v>
      </c>
      <c r="R63" s="18" t="s">
        <v>2</v>
      </c>
      <c r="S63" s="18" t="s">
        <v>2</v>
      </c>
      <c r="T63" s="12">
        <v>28.6</v>
      </c>
      <c r="U63" s="13">
        <f t="shared" si="4"/>
        <v>248.6</v>
      </c>
      <c r="V63" s="19" t="s">
        <v>3</v>
      </c>
      <c r="X63" s="3">
        <f t="shared" si="2"/>
        <v>28.6</v>
      </c>
    </row>
    <row r="64" spans="1:24" hidden="1" x14ac:dyDescent="0.25">
      <c r="A64" s="5" t="s">
        <v>25</v>
      </c>
      <c r="B64" s="18" t="s">
        <v>179</v>
      </c>
      <c r="C64" s="20" t="str">
        <f>+LEFT(B64,2)</f>
        <v>06</v>
      </c>
      <c r="D64" s="20" t="str">
        <f>+RIGHT(B64,2)</f>
        <v>04</v>
      </c>
      <c r="E64" s="19" t="s">
        <v>21</v>
      </c>
      <c r="F64" s="19" t="s">
        <v>22</v>
      </c>
      <c r="G64" s="4" t="str">
        <f t="shared" si="3"/>
        <v>06/04/2021</v>
      </c>
      <c r="H64" s="19" t="s">
        <v>1</v>
      </c>
      <c r="I64" s="19" t="s">
        <v>72</v>
      </c>
      <c r="J64" s="5" t="s">
        <v>193</v>
      </c>
      <c r="K64" s="5" t="s">
        <v>192</v>
      </c>
      <c r="L64" s="22" t="str">
        <f>+VLOOKUP(K64,'[1]BASE DE PROVEEDORES'!$A:$B,2,0)</f>
        <v>REPUESTOS NOE S.A DE C.V.</v>
      </c>
      <c r="M64" s="25">
        <v>0</v>
      </c>
      <c r="N64" s="5" t="s">
        <v>2</v>
      </c>
      <c r="O64" s="5" t="s">
        <v>2</v>
      </c>
      <c r="P64" s="6">
        <v>280</v>
      </c>
      <c r="Q64" s="5" t="s">
        <v>2</v>
      </c>
      <c r="R64" s="18" t="s">
        <v>2</v>
      </c>
      <c r="S64" s="18" t="s">
        <v>2</v>
      </c>
      <c r="T64" s="12">
        <v>36.4</v>
      </c>
      <c r="U64" s="13">
        <f t="shared" si="4"/>
        <v>316.39999999999998</v>
      </c>
      <c r="V64" s="19" t="s">
        <v>3</v>
      </c>
      <c r="X64" s="3">
        <f t="shared" si="2"/>
        <v>36.4</v>
      </c>
    </row>
    <row r="65" spans="1:24" hidden="1" x14ac:dyDescent="0.25">
      <c r="A65" s="5" t="s">
        <v>25</v>
      </c>
      <c r="C65" s="19" t="s">
        <v>91</v>
      </c>
      <c r="D65" s="20" t="s">
        <v>28</v>
      </c>
      <c r="E65" s="19" t="s">
        <v>21</v>
      </c>
      <c r="F65" s="19" t="s">
        <v>22</v>
      </c>
      <c r="G65" s="4" t="str">
        <f t="shared" si="3"/>
        <v>07/04/2021</v>
      </c>
      <c r="H65" s="19" t="s">
        <v>1</v>
      </c>
      <c r="I65" s="19" t="s">
        <v>0</v>
      </c>
      <c r="J65" s="5" t="s">
        <v>92</v>
      </c>
      <c r="K65" s="5" t="s">
        <v>55</v>
      </c>
      <c r="L65" s="22" t="str">
        <f>+VLOOKUP(K65,'[1]BASE DE PROVEEDORES'!$A:$B,2,0)</f>
        <v xml:space="preserve">DISTRIBUIDORA DE LUBRICANTES Y COMBUSTIBLES S.A DE C.V </v>
      </c>
      <c r="M65" s="25">
        <f>4.62+2.31</f>
        <v>6.93</v>
      </c>
      <c r="N65" s="5" t="s">
        <v>2</v>
      </c>
      <c r="O65" s="5" t="s">
        <v>2</v>
      </c>
      <c r="P65" s="6">
        <v>51.66</v>
      </c>
      <c r="Q65" s="5" t="s">
        <v>2</v>
      </c>
      <c r="R65" s="18" t="s">
        <v>2</v>
      </c>
      <c r="S65" s="18" t="s">
        <v>2</v>
      </c>
      <c r="T65" s="12">
        <v>6.72</v>
      </c>
      <c r="U65" s="13">
        <f t="shared" si="4"/>
        <v>65.31</v>
      </c>
      <c r="V65" s="19" t="s">
        <v>3</v>
      </c>
      <c r="X65" s="3">
        <f t="shared" si="2"/>
        <v>6.72</v>
      </c>
    </row>
    <row r="66" spans="1:24" hidden="1" x14ac:dyDescent="0.25">
      <c r="A66" s="5" t="s">
        <v>25</v>
      </c>
      <c r="C66" s="19" t="s">
        <v>91</v>
      </c>
      <c r="D66" s="20" t="s">
        <v>28</v>
      </c>
      <c r="E66" s="19" t="s">
        <v>21</v>
      </c>
      <c r="F66" s="19" t="s">
        <v>22</v>
      </c>
      <c r="G66" s="4" t="str">
        <f t="shared" ref="G66:G97" si="5">+C66&amp;F66&amp;D66&amp;F66&amp;E66</f>
        <v>07/04/2021</v>
      </c>
      <c r="H66" s="19" t="s">
        <v>1</v>
      </c>
      <c r="I66" s="19" t="s">
        <v>0</v>
      </c>
      <c r="J66" s="5" t="s">
        <v>98</v>
      </c>
      <c r="K66" s="5" t="s">
        <v>55</v>
      </c>
      <c r="L66" s="22" t="str">
        <f>+VLOOKUP(K66,'[1]BASE DE PROVEEDORES'!$A:$B,2,0)</f>
        <v xml:space="preserve">DISTRIBUIDORA DE LUBRICANTES Y COMBUSTIBLES S.A DE C.V </v>
      </c>
      <c r="M66" s="25">
        <v>1.5</v>
      </c>
      <c r="N66" s="5" t="s">
        <v>2</v>
      </c>
      <c r="O66" s="5" t="s">
        <v>2</v>
      </c>
      <c r="P66" s="6">
        <v>11.19</v>
      </c>
      <c r="Q66" s="5" t="s">
        <v>2</v>
      </c>
      <c r="R66" s="18" t="s">
        <v>2</v>
      </c>
      <c r="S66" s="18" t="s">
        <v>2</v>
      </c>
      <c r="T66" s="12">
        <v>1.45</v>
      </c>
      <c r="U66" s="13">
        <f t="shared" ref="U66:U97" si="6">+M66+P66+T66</f>
        <v>14.139999999999999</v>
      </c>
      <c r="V66" s="19" t="s">
        <v>3</v>
      </c>
      <c r="X66" s="3">
        <f t="shared" si="2"/>
        <v>1.45</v>
      </c>
    </row>
    <row r="67" spans="1:24" hidden="1" x14ac:dyDescent="0.25">
      <c r="A67" s="5" t="s">
        <v>25</v>
      </c>
      <c r="C67" s="19" t="s">
        <v>91</v>
      </c>
      <c r="D67" s="20" t="s">
        <v>28</v>
      </c>
      <c r="E67" s="19" t="s">
        <v>21</v>
      </c>
      <c r="F67" s="19" t="s">
        <v>22</v>
      </c>
      <c r="G67" s="4" t="str">
        <f t="shared" si="5"/>
        <v>07/04/2021</v>
      </c>
      <c r="H67" s="19" t="s">
        <v>1</v>
      </c>
      <c r="I67" s="19" t="s">
        <v>0</v>
      </c>
      <c r="J67" s="5" t="s">
        <v>99</v>
      </c>
      <c r="K67" s="5" t="s">
        <v>55</v>
      </c>
      <c r="L67" s="22" t="str">
        <f>+VLOOKUP(K67,'[1]BASE DE PROVEEDORES'!$A:$B,2,0)</f>
        <v xml:space="preserve">DISTRIBUIDORA DE LUBRICANTES Y COMBUSTIBLES S.A DE C.V </v>
      </c>
      <c r="M67" s="25">
        <f>7.19+3.59</f>
        <v>10.780000000000001</v>
      </c>
      <c r="N67" s="5" t="s">
        <v>2</v>
      </c>
      <c r="O67" s="5" t="s">
        <v>2</v>
      </c>
      <c r="P67" s="6">
        <v>80.430000000000007</v>
      </c>
      <c r="Q67" s="5" t="s">
        <v>2</v>
      </c>
      <c r="R67" s="18" t="s">
        <v>2</v>
      </c>
      <c r="S67" s="18" t="s">
        <v>2</v>
      </c>
      <c r="T67" s="12">
        <v>10.46</v>
      </c>
      <c r="U67" s="13">
        <f t="shared" si="6"/>
        <v>101.67000000000002</v>
      </c>
      <c r="V67" s="19" t="s">
        <v>3</v>
      </c>
      <c r="X67" s="3">
        <f t="shared" ref="X67:X130" si="7">+ROUND(T67,2)</f>
        <v>10.46</v>
      </c>
    </row>
    <row r="68" spans="1:24" hidden="1" x14ac:dyDescent="0.25">
      <c r="A68" s="5" t="s">
        <v>25</v>
      </c>
      <c r="B68" s="18" t="s">
        <v>122</v>
      </c>
      <c r="C68" s="20" t="str">
        <f>+LEFT(B68,2)</f>
        <v>07</v>
      </c>
      <c r="D68" s="20" t="str">
        <f>+RIGHT(B68,2)</f>
        <v>04</v>
      </c>
      <c r="E68" s="19" t="s">
        <v>21</v>
      </c>
      <c r="F68" s="19" t="s">
        <v>22</v>
      </c>
      <c r="G68" s="4" t="str">
        <f t="shared" si="5"/>
        <v>07/04/2021</v>
      </c>
      <c r="H68" s="19" t="s">
        <v>1</v>
      </c>
      <c r="I68" s="19" t="s">
        <v>0</v>
      </c>
      <c r="J68" s="5" t="s">
        <v>123</v>
      </c>
      <c r="K68" s="5" t="s">
        <v>55</v>
      </c>
      <c r="L68" s="22" t="str">
        <f>+VLOOKUP(K68,'[1]BASE DE PROVEEDORES'!$A:$B,2,0)</f>
        <v xml:space="preserve">DISTRIBUIDORA DE LUBRICANTES Y COMBUSTIBLES S.A DE C.V </v>
      </c>
      <c r="M68" s="25">
        <f>1.11+0.56</f>
        <v>1.6700000000000002</v>
      </c>
      <c r="N68" s="5" t="s">
        <v>2</v>
      </c>
      <c r="O68" s="5" t="s">
        <v>2</v>
      </c>
      <c r="P68" s="6">
        <v>12.49</v>
      </c>
      <c r="Q68" s="5" t="s">
        <v>2</v>
      </c>
      <c r="R68" s="18" t="s">
        <v>2</v>
      </c>
      <c r="S68" s="18" t="s">
        <v>2</v>
      </c>
      <c r="T68" s="12">
        <v>1.62</v>
      </c>
      <c r="U68" s="13">
        <f t="shared" si="6"/>
        <v>15.780000000000001</v>
      </c>
      <c r="V68" s="19" t="s">
        <v>3</v>
      </c>
      <c r="X68" s="3">
        <f t="shared" si="7"/>
        <v>1.62</v>
      </c>
    </row>
    <row r="69" spans="1:24" hidden="1" x14ac:dyDescent="0.25">
      <c r="A69" s="5" t="s">
        <v>25</v>
      </c>
      <c r="B69" s="18" t="s">
        <v>122</v>
      </c>
      <c r="C69" s="20" t="str">
        <f>+LEFT(B69,2)</f>
        <v>07</v>
      </c>
      <c r="D69" s="20" t="str">
        <f>+RIGHT(B69,2)</f>
        <v>04</v>
      </c>
      <c r="E69" s="19" t="s">
        <v>21</v>
      </c>
      <c r="F69" s="19" t="s">
        <v>22</v>
      </c>
      <c r="G69" s="4" t="str">
        <f t="shared" si="5"/>
        <v>07/04/2021</v>
      </c>
      <c r="H69" s="19" t="s">
        <v>1</v>
      </c>
      <c r="I69" s="19" t="s">
        <v>0</v>
      </c>
      <c r="J69" s="5" t="s">
        <v>136</v>
      </c>
      <c r="K69" s="5" t="s">
        <v>55</v>
      </c>
      <c r="L69" s="22" t="str">
        <f>+VLOOKUP(K69,'[1]BASE DE PROVEEDORES'!$A:$B,2,0)</f>
        <v xml:space="preserve">DISTRIBUIDORA DE LUBRICANTES Y COMBUSTIBLES S.A DE C.V </v>
      </c>
      <c r="M69" s="25">
        <f>4.21+2.11</f>
        <v>6.32</v>
      </c>
      <c r="N69" s="5" t="s">
        <v>2</v>
      </c>
      <c r="O69" s="5" t="s">
        <v>2</v>
      </c>
      <c r="P69" s="6">
        <v>47.1</v>
      </c>
      <c r="Q69" s="5" t="s">
        <v>2</v>
      </c>
      <c r="R69" s="18" t="s">
        <v>2</v>
      </c>
      <c r="S69" s="18" t="s">
        <v>2</v>
      </c>
      <c r="T69" s="12">
        <v>6.12</v>
      </c>
      <c r="U69" s="13">
        <f t="shared" si="6"/>
        <v>59.54</v>
      </c>
      <c r="V69" s="19" t="s">
        <v>3</v>
      </c>
      <c r="X69" s="3">
        <f t="shared" si="7"/>
        <v>6.12</v>
      </c>
    </row>
    <row r="70" spans="1:24" hidden="1" x14ac:dyDescent="0.25">
      <c r="A70" s="5" t="s">
        <v>25</v>
      </c>
      <c r="B70" s="18" t="s">
        <v>122</v>
      </c>
      <c r="C70" s="20" t="str">
        <f>+LEFT(B70,2)</f>
        <v>07</v>
      </c>
      <c r="D70" s="20" t="str">
        <f>+RIGHT(B70,2)</f>
        <v>04</v>
      </c>
      <c r="E70" s="19" t="s">
        <v>21</v>
      </c>
      <c r="F70" s="19" t="s">
        <v>22</v>
      </c>
      <c r="G70" s="4" t="str">
        <f t="shared" si="5"/>
        <v>07/04/2021</v>
      </c>
      <c r="H70" s="19" t="s">
        <v>1</v>
      </c>
      <c r="I70" s="19" t="s">
        <v>0</v>
      </c>
      <c r="J70" s="5" t="s">
        <v>215</v>
      </c>
      <c r="K70" s="5" t="s">
        <v>172</v>
      </c>
      <c r="L70" s="22" t="str">
        <f>+VLOOKUP(K70,'[1]BASE DE PROVEEDORES'!$A:$B,2,0)</f>
        <v>MUNFRE S.A DE C.V.</v>
      </c>
      <c r="M70" s="25">
        <v>0</v>
      </c>
      <c r="N70" s="5" t="s">
        <v>2</v>
      </c>
      <c r="O70" s="5" t="s">
        <v>2</v>
      </c>
      <c r="P70" s="6">
        <v>33.24</v>
      </c>
      <c r="Q70" s="5" t="s">
        <v>2</v>
      </c>
      <c r="R70" s="18" t="s">
        <v>2</v>
      </c>
      <c r="S70" s="18" t="s">
        <v>2</v>
      </c>
      <c r="T70" s="12">
        <v>4.32</v>
      </c>
      <c r="U70" s="13">
        <f t="shared" si="6"/>
        <v>37.56</v>
      </c>
      <c r="V70" s="19" t="s">
        <v>3</v>
      </c>
      <c r="X70" s="3">
        <f t="shared" si="7"/>
        <v>4.32</v>
      </c>
    </row>
    <row r="71" spans="1:24" hidden="1" x14ac:dyDescent="0.25">
      <c r="A71" s="5" t="s">
        <v>25</v>
      </c>
      <c r="C71" s="19" t="s">
        <v>40</v>
      </c>
      <c r="D71" s="20" t="s">
        <v>28</v>
      </c>
      <c r="E71" s="19" t="s">
        <v>21</v>
      </c>
      <c r="F71" s="19" t="s">
        <v>22</v>
      </c>
      <c r="G71" s="4" t="str">
        <f t="shared" si="5"/>
        <v>08/04/2021</v>
      </c>
      <c r="H71" s="19" t="s">
        <v>1</v>
      </c>
      <c r="I71" s="19" t="s">
        <v>0</v>
      </c>
      <c r="J71" s="5" t="s">
        <v>41</v>
      </c>
      <c r="K71" s="5" t="s">
        <v>42</v>
      </c>
      <c r="L71" s="22" t="str">
        <f>+VLOOKUP(K71,'[1]BASE DE PROVEEDORES'!$A:$B,2,0)</f>
        <v>ECSA OPERADORA EL SALVADOR S.A DE C.V.</v>
      </c>
      <c r="M71" s="25">
        <v>5.54</v>
      </c>
      <c r="N71" s="5" t="s">
        <v>2</v>
      </c>
      <c r="O71" s="5" t="s">
        <v>2</v>
      </c>
      <c r="P71" s="6">
        <v>42.2</v>
      </c>
      <c r="Q71" s="5" t="s">
        <v>2</v>
      </c>
      <c r="R71" s="18" t="s">
        <v>2</v>
      </c>
      <c r="S71" s="18" t="s">
        <v>2</v>
      </c>
      <c r="T71" s="12">
        <v>5.49</v>
      </c>
      <c r="U71" s="13">
        <f t="shared" si="6"/>
        <v>53.230000000000004</v>
      </c>
      <c r="V71" s="19" t="s">
        <v>3</v>
      </c>
      <c r="X71" s="3">
        <f t="shared" si="7"/>
        <v>5.49</v>
      </c>
    </row>
    <row r="72" spans="1:24" hidden="1" x14ac:dyDescent="0.25">
      <c r="A72" s="5" t="s">
        <v>25</v>
      </c>
      <c r="B72" s="18" t="s">
        <v>134</v>
      </c>
      <c r="C72" s="20" t="str">
        <f>+LEFT(B72,2)</f>
        <v>08</v>
      </c>
      <c r="D72" s="20" t="str">
        <f>+RIGHT(B72,2)</f>
        <v>04</v>
      </c>
      <c r="E72" s="19" t="s">
        <v>21</v>
      </c>
      <c r="F72" s="19" t="s">
        <v>22</v>
      </c>
      <c r="G72" s="4" t="str">
        <f t="shared" si="5"/>
        <v>08/04/2021</v>
      </c>
      <c r="H72" s="19" t="s">
        <v>1</v>
      </c>
      <c r="I72" s="19" t="s">
        <v>0</v>
      </c>
      <c r="J72" s="5" t="s">
        <v>135</v>
      </c>
      <c r="K72" s="5" t="s">
        <v>55</v>
      </c>
      <c r="L72" s="22" t="str">
        <f>+VLOOKUP(K72,'[1]BASE DE PROVEEDORES'!$A:$B,2,0)</f>
        <v xml:space="preserve">DISTRIBUIDORA DE LUBRICANTES Y COMBUSTIBLES S.A DE C.V </v>
      </c>
      <c r="M72" s="25">
        <f>27.83+13.92</f>
        <v>41.75</v>
      </c>
      <c r="N72" s="5" t="s">
        <v>2</v>
      </c>
      <c r="O72" s="5" t="s">
        <v>2</v>
      </c>
      <c r="P72" s="6">
        <v>311.41000000000003</v>
      </c>
      <c r="Q72" s="5" t="s">
        <v>2</v>
      </c>
      <c r="R72" s="18" t="s">
        <v>2</v>
      </c>
      <c r="S72" s="18" t="s">
        <v>2</v>
      </c>
      <c r="T72" s="12">
        <v>40.479999999999997</v>
      </c>
      <c r="U72" s="13">
        <f t="shared" si="6"/>
        <v>393.64000000000004</v>
      </c>
      <c r="V72" s="19" t="s">
        <v>3</v>
      </c>
      <c r="X72" s="3">
        <f t="shared" si="7"/>
        <v>40.479999999999997</v>
      </c>
    </row>
    <row r="73" spans="1:24" hidden="1" x14ac:dyDescent="0.25">
      <c r="A73" s="5" t="s">
        <v>25</v>
      </c>
      <c r="B73" s="18" t="s">
        <v>134</v>
      </c>
      <c r="C73" s="20" t="str">
        <f>+LEFT(B73,2)</f>
        <v>08</v>
      </c>
      <c r="D73" s="20" t="str">
        <f>+RIGHT(B73,2)</f>
        <v>04</v>
      </c>
      <c r="E73" s="19" t="s">
        <v>21</v>
      </c>
      <c r="F73" s="19" t="s">
        <v>22</v>
      </c>
      <c r="G73" s="4" t="str">
        <f t="shared" si="5"/>
        <v>08/04/2021</v>
      </c>
      <c r="H73" s="19" t="s">
        <v>1</v>
      </c>
      <c r="I73" s="19" t="s">
        <v>0</v>
      </c>
      <c r="J73" s="5" t="s">
        <v>140</v>
      </c>
      <c r="K73" s="5" t="s">
        <v>55</v>
      </c>
      <c r="L73" s="22" t="str">
        <f>+VLOOKUP(K73,'[1]BASE DE PROVEEDORES'!$A:$B,2,0)</f>
        <v xml:space="preserve">DISTRIBUIDORA DE LUBRICANTES Y COMBUSTIBLES S.A DE C.V </v>
      </c>
      <c r="M73" s="25">
        <f>2.86+1.47</f>
        <v>4.33</v>
      </c>
      <c r="N73" s="5" t="s">
        <v>2</v>
      </c>
      <c r="O73" s="5" t="s">
        <v>2</v>
      </c>
      <c r="P73" s="6">
        <v>31.95</v>
      </c>
      <c r="Q73" s="5" t="s">
        <v>2</v>
      </c>
      <c r="R73" s="18" t="s">
        <v>2</v>
      </c>
      <c r="S73" s="18" t="s">
        <v>2</v>
      </c>
      <c r="T73" s="12">
        <v>4.1500000000000004</v>
      </c>
      <c r="U73" s="13">
        <f t="shared" si="6"/>
        <v>40.43</v>
      </c>
      <c r="V73" s="19" t="s">
        <v>3</v>
      </c>
      <c r="X73" s="3">
        <f t="shared" si="7"/>
        <v>4.1500000000000004</v>
      </c>
    </row>
    <row r="74" spans="1:24" hidden="1" x14ac:dyDescent="0.25">
      <c r="A74" s="5" t="s">
        <v>25</v>
      </c>
      <c r="C74" s="19" t="s">
        <v>56</v>
      </c>
      <c r="D74" s="20" t="s">
        <v>28</v>
      </c>
      <c r="E74" s="19" t="s">
        <v>21</v>
      </c>
      <c r="F74" s="19" t="s">
        <v>22</v>
      </c>
      <c r="G74" s="4" t="str">
        <f t="shared" si="5"/>
        <v>09/04/2021</v>
      </c>
      <c r="H74" s="19" t="s">
        <v>1</v>
      </c>
      <c r="I74" s="19" t="s">
        <v>0</v>
      </c>
      <c r="J74" s="5" t="s">
        <v>57</v>
      </c>
      <c r="K74" s="5" t="s">
        <v>55</v>
      </c>
      <c r="L74" s="22" t="str">
        <f>+VLOOKUP(K74,'[1]BASE DE PROVEEDORES'!$A:$B,2,0)</f>
        <v xml:space="preserve">DISTRIBUIDORA DE LUBRICANTES Y COMBUSTIBLES S.A DE C.V </v>
      </c>
      <c r="M74" s="25">
        <f>10.2+5.1</f>
        <v>15.299999999999999</v>
      </c>
      <c r="N74" s="5" t="s">
        <v>2</v>
      </c>
      <c r="O74" s="5" t="s">
        <v>2</v>
      </c>
      <c r="P74" s="6">
        <v>114.13</v>
      </c>
      <c r="Q74" s="5" t="s">
        <v>2</v>
      </c>
      <c r="R74" s="18" t="s">
        <v>2</v>
      </c>
      <c r="S74" s="18" t="s">
        <v>2</v>
      </c>
      <c r="T74" s="12">
        <v>14.84</v>
      </c>
      <c r="U74" s="13">
        <f t="shared" si="6"/>
        <v>144.27000000000001</v>
      </c>
      <c r="V74" s="19" t="s">
        <v>3</v>
      </c>
      <c r="X74" s="3">
        <f t="shared" si="7"/>
        <v>14.84</v>
      </c>
    </row>
    <row r="75" spans="1:24" hidden="1" x14ac:dyDescent="0.25">
      <c r="A75" s="5" t="s">
        <v>25</v>
      </c>
      <c r="C75" s="19" t="s">
        <v>56</v>
      </c>
      <c r="D75" s="20" t="s">
        <v>28</v>
      </c>
      <c r="E75" s="19" t="s">
        <v>21</v>
      </c>
      <c r="F75" s="19" t="s">
        <v>22</v>
      </c>
      <c r="G75" s="4" t="str">
        <f t="shared" si="5"/>
        <v>09/04/2021</v>
      </c>
      <c r="H75" s="19" t="s">
        <v>1</v>
      </c>
      <c r="I75" s="19" t="s">
        <v>0</v>
      </c>
      <c r="J75" s="5" t="s">
        <v>90</v>
      </c>
      <c r="K75" s="5" t="s">
        <v>55</v>
      </c>
      <c r="L75" s="22" t="str">
        <f>+VLOOKUP(K75,'[1]BASE DE PROVEEDORES'!$A:$B,2,0)</f>
        <v xml:space="preserve">DISTRIBUIDORA DE LUBRICANTES Y COMBUSTIBLES S.A DE C.V </v>
      </c>
      <c r="M75" s="25">
        <f>0.88+0.44</f>
        <v>1.32</v>
      </c>
      <c r="N75" s="5" t="s">
        <v>2</v>
      </c>
      <c r="O75" s="5" t="s">
        <v>2</v>
      </c>
      <c r="P75" s="6">
        <v>9.89</v>
      </c>
      <c r="Q75" s="5" t="s">
        <v>2</v>
      </c>
      <c r="R75" s="18" t="s">
        <v>2</v>
      </c>
      <c r="S75" s="18" t="s">
        <v>2</v>
      </c>
      <c r="T75" s="12">
        <v>1.29</v>
      </c>
      <c r="U75" s="13">
        <f t="shared" si="6"/>
        <v>12.5</v>
      </c>
      <c r="V75" s="19" t="s">
        <v>3</v>
      </c>
      <c r="X75" s="3">
        <f t="shared" si="7"/>
        <v>1.29</v>
      </c>
    </row>
    <row r="76" spans="1:24" hidden="1" x14ac:dyDescent="0.25">
      <c r="A76" s="5" t="s">
        <v>25</v>
      </c>
      <c r="B76" s="18" t="s">
        <v>117</v>
      </c>
      <c r="C76" s="20" t="str">
        <f>+LEFT(B76,2)</f>
        <v>09</v>
      </c>
      <c r="D76" s="20" t="str">
        <f>+RIGHT(B76,2)</f>
        <v>04</v>
      </c>
      <c r="E76" s="19" t="s">
        <v>21</v>
      </c>
      <c r="F76" s="19" t="s">
        <v>22</v>
      </c>
      <c r="G76" s="4" t="str">
        <f t="shared" si="5"/>
        <v>09/04/2021</v>
      </c>
      <c r="H76" s="19" t="s">
        <v>1</v>
      </c>
      <c r="I76" s="19" t="s">
        <v>0</v>
      </c>
      <c r="J76" s="5" t="s">
        <v>118</v>
      </c>
      <c r="K76" s="5" t="s">
        <v>55</v>
      </c>
      <c r="L76" s="22" t="str">
        <f>+VLOOKUP(K76,'[1]BASE DE PROVEEDORES'!$A:$B,2,0)</f>
        <v xml:space="preserve">DISTRIBUIDORA DE LUBRICANTES Y COMBUSTIBLES S.A DE C.V </v>
      </c>
      <c r="M76" s="25">
        <f>3.78+1.89</f>
        <v>5.67</v>
      </c>
      <c r="N76" s="5" t="s">
        <v>2</v>
      </c>
      <c r="O76" s="5" t="s">
        <v>2</v>
      </c>
      <c r="P76" s="6">
        <v>42.24</v>
      </c>
      <c r="Q76" s="5" t="s">
        <v>2</v>
      </c>
      <c r="R76" s="18" t="s">
        <v>2</v>
      </c>
      <c r="S76" s="18" t="s">
        <v>2</v>
      </c>
      <c r="T76" s="12">
        <v>5.49</v>
      </c>
      <c r="U76" s="13">
        <f t="shared" si="6"/>
        <v>53.400000000000006</v>
      </c>
      <c r="V76" s="19" t="s">
        <v>3</v>
      </c>
      <c r="X76" s="3">
        <f t="shared" si="7"/>
        <v>5.49</v>
      </c>
    </row>
    <row r="77" spans="1:24" hidden="1" x14ac:dyDescent="0.25">
      <c r="A77" s="5" t="s">
        <v>25</v>
      </c>
      <c r="B77" s="18" t="s">
        <v>117</v>
      </c>
      <c r="C77" s="20" t="str">
        <f>+LEFT(B77,2)</f>
        <v>09</v>
      </c>
      <c r="D77" s="20" t="str">
        <f>+RIGHT(B77,2)</f>
        <v>04</v>
      </c>
      <c r="E77" s="19" t="s">
        <v>21</v>
      </c>
      <c r="F77" s="19" t="s">
        <v>22</v>
      </c>
      <c r="G77" s="4" t="str">
        <f t="shared" si="5"/>
        <v>09/04/2021</v>
      </c>
      <c r="H77" s="19" t="s">
        <v>1</v>
      </c>
      <c r="I77" s="19" t="s">
        <v>0</v>
      </c>
      <c r="J77" s="5" t="s">
        <v>119</v>
      </c>
      <c r="K77" s="5" t="s">
        <v>55</v>
      </c>
      <c r="L77" s="22" t="str">
        <f>+VLOOKUP(K77,'[1]BASE DE PROVEEDORES'!$A:$B,2,0)</f>
        <v xml:space="preserve">DISTRIBUIDORA DE LUBRICANTES Y COMBUSTIBLES S.A DE C.V </v>
      </c>
      <c r="M77" s="25">
        <f>22.18+11.09</f>
        <v>33.269999999999996</v>
      </c>
      <c r="N77" s="5" t="s">
        <v>2</v>
      </c>
      <c r="O77" s="5" t="s">
        <v>2</v>
      </c>
      <c r="P77" s="6">
        <v>248.14</v>
      </c>
      <c r="Q77" s="5" t="s">
        <v>2</v>
      </c>
      <c r="R77" s="18" t="s">
        <v>2</v>
      </c>
      <c r="S77" s="18" t="s">
        <v>2</v>
      </c>
      <c r="T77" s="12">
        <v>32.26</v>
      </c>
      <c r="U77" s="13">
        <f t="shared" si="6"/>
        <v>313.66999999999996</v>
      </c>
      <c r="V77" s="19" t="s">
        <v>3</v>
      </c>
      <c r="X77" s="3">
        <f t="shared" si="7"/>
        <v>32.26</v>
      </c>
    </row>
    <row r="78" spans="1:24" hidden="1" x14ac:dyDescent="0.25">
      <c r="A78" s="5" t="s">
        <v>25</v>
      </c>
      <c r="B78" s="18" t="s">
        <v>117</v>
      </c>
      <c r="C78" s="20" t="str">
        <f>+LEFT(B78,2)</f>
        <v>09</v>
      </c>
      <c r="D78" s="20" t="str">
        <f>+RIGHT(B78,2)</f>
        <v>04</v>
      </c>
      <c r="E78" s="19" t="s">
        <v>21</v>
      </c>
      <c r="F78" s="19" t="s">
        <v>22</v>
      </c>
      <c r="G78" s="4" t="str">
        <f t="shared" si="5"/>
        <v>09/04/2021</v>
      </c>
      <c r="H78" s="19" t="s">
        <v>1</v>
      </c>
      <c r="I78" s="19" t="s">
        <v>0</v>
      </c>
      <c r="J78" s="5" t="s">
        <v>120</v>
      </c>
      <c r="K78" s="5" t="s">
        <v>55</v>
      </c>
      <c r="L78" s="22" t="str">
        <f>+VLOOKUP(K78,'[1]BASE DE PROVEEDORES'!$A:$B,2,0)</f>
        <v xml:space="preserve">DISTRIBUIDORA DE LUBRICANTES Y COMBUSTIBLES S.A DE C.V </v>
      </c>
      <c r="M78" s="25">
        <f>6.19+3.09</f>
        <v>9.2800000000000011</v>
      </c>
      <c r="N78" s="5" t="s">
        <v>2</v>
      </c>
      <c r="O78" s="5" t="s">
        <v>2</v>
      </c>
      <c r="P78" s="6">
        <v>69.25</v>
      </c>
      <c r="Q78" s="5" t="s">
        <v>2</v>
      </c>
      <c r="R78" s="18" t="s">
        <v>2</v>
      </c>
      <c r="S78" s="18" t="s">
        <v>2</v>
      </c>
      <c r="T78" s="12">
        <v>9</v>
      </c>
      <c r="U78" s="13">
        <f t="shared" si="6"/>
        <v>87.53</v>
      </c>
      <c r="V78" s="19" t="s">
        <v>3</v>
      </c>
      <c r="X78" s="3">
        <f t="shared" si="7"/>
        <v>9</v>
      </c>
    </row>
    <row r="79" spans="1:24" hidden="1" x14ac:dyDescent="0.25">
      <c r="A79" s="5" t="s">
        <v>25</v>
      </c>
      <c r="B79" s="18" t="s">
        <v>117</v>
      </c>
      <c r="C79" s="20" t="str">
        <f>+LEFT(B79,2)</f>
        <v>09</v>
      </c>
      <c r="D79" s="20" t="str">
        <f>+RIGHT(B79,2)</f>
        <v>04</v>
      </c>
      <c r="E79" s="19" t="s">
        <v>21</v>
      </c>
      <c r="F79" s="19" t="s">
        <v>22</v>
      </c>
      <c r="G79" s="4" t="str">
        <f t="shared" si="5"/>
        <v>09/04/2021</v>
      </c>
      <c r="H79" s="19" t="s">
        <v>1</v>
      </c>
      <c r="I79" s="19" t="s">
        <v>0</v>
      </c>
      <c r="J79" s="5" t="s">
        <v>121</v>
      </c>
      <c r="K79" s="5" t="s">
        <v>55</v>
      </c>
      <c r="L79" s="22" t="str">
        <f>+VLOOKUP(K79,'[1]BASE DE PROVEEDORES'!$A:$B,2,0)</f>
        <v xml:space="preserve">DISTRIBUIDORA DE LUBRICANTES Y COMBUSTIBLES S.A DE C.V </v>
      </c>
      <c r="M79" s="25">
        <f>24.77+12.39</f>
        <v>37.159999999999997</v>
      </c>
      <c r="N79" s="5" t="s">
        <v>2</v>
      </c>
      <c r="O79" s="5" t="s">
        <v>2</v>
      </c>
      <c r="P79" s="6">
        <v>277.18</v>
      </c>
      <c r="Q79" s="5" t="s">
        <v>2</v>
      </c>
      <c r="R79" s="18" t="s">
        <v>2</v>
      </c>
      <c r="S79" s="18" t="s">
        <v>2</v>
      </c>
      <c r="T79" s="12">
        <v>36.03</v>
      </c>
      <c r="U79" s="13">
        <f t="shared" si="6"/>
        <v>350.37</v>
      </c>
      <c r="V79" s="19" t="s">
        <v>3</v>
      </c>
      <c r="X79" s="3">
        <f t="shared" si="7"/>
        <v>36.03</v>
      </c>
    </row>
    <row r="80" spans="1:24" hidden="1" x14ac:dyDescent="0.25">
      <c r="A80" s="5" t="s">
        <v>25</v>
      </c>
      <c r="B80" s="18" t="s">
        <v>117</v>
      </c>
      <c r="C80" s="20" t="str">
        <f>+LEFT(B80,2)</f>
        <v>09</v>
      </c>
      <c r="D80" s="20" t="str">
        <f>+RIGHT(B80,2)</f>
        <v>04</v>
      </c>
      <c r="E80" s="19" t="s">
        <v>21</v>
      </c>
      <c r="F80" s="19" t="s">
        <v>22</v>
      </c>
      <c r="G80" s="4" t="str">
        <f t="shared" si="5"/>
        <v>09/04/2021</v>
      </c>
      <c r="H80" s="19" t="s">
        <v>1</v>
      </c>
      <c r="I80" s="19" t="s">
        <v>0</v>
      </c>
      <c r="J80" s="5" t="s">
        <v>197</v>
      </c>
      <c r="K80" s="5" t="s">
        <v>192</v>
      </c>
      <c r="L80" s="22" t="str">
        <f>+VLOOKUP(K80,'[1]BASE DE PROVEEDORES'!$A:$B,2,0)</f>
        <v>REPUESTOS NOE S.A DE C.V.</v>
      </c>
      <c r="M80" s="25">
        <v>0</v>
      </c>
      <c r="N80" s="5" t="s">
        <v>2</v>
      </c>
      <c r="O80" s="5" t="s">
        <v>2</v>
      </c>
      <c r="P80" s="6">
        <v>40</v>
      </c>
      <c r="Q80" s="5" t="s">
        <v>2</v>
      </c>
      <c r="R80" s="18" t="s">
        <v>2</v>
      </c>
      <c r="S80" s="18" t="s">
        <v>2</v>
      </c>
      <c r="T80" s="12">
        <v>5.2</v>
      </c>
      <c r="U80" s="13">
        <f t="shared" si="6"/>
        <v>45.2</v>
      </c>
      <c r="V80" s="19" t="s">
        <v>3</v>
      </c>
      <c r="X80" s="3">
        <f t="shared" si="7"/>
        <v>5.2</v>
      </c>
    </row>
    <row r="81" spans="1:24" hidden="1" x14ac:dyDescent="0.25">
      <c r="A81" s="5" t="s">
        <v>25</v>
      </c>
      <c r="C81" s="19" t="s">
        <v>29</v>
      </c>
      <c r="D81" s="20" t="s">
        <v>28</v>
      </c>
      <c r="E81" s="19" t="s">
        <v>21</v>
      </c>
      <c r="F81" s="19" t="s">
        <v>22</v>
      </c>
      <c r="G81" s="4" t="str">
        <f t="shared" si="5"/>
        <v>10/04/2021</v>
      </c>
      <c r="H81" s="19" t="s">
        <v>1</v>
      </c>
      <c r="I81" s="19" t="s">
        <v>0</v>
      </c>
      <c r="J81" s="5" t="s">
        <v>26</v>
      </c>
      <c r="K81" s="5" t="s">
        <v>27</v>
      </c>
      <c r="L81" s="22" t="str">
        <f>+VLOOKUP(K81,'[1]BASE DE PROVEEDORES'!$A:$B,2,0)</f>
        <v>LUIGEMI S.A DE C.V.</v>
      </c>
      <c r="M81" s="25">
        <f>1.53+0.76</f>
        <v>2.29</v>
      </c>
      <c r="N81" s="5" t="s">
        <v>2</v>
      </c>
      <c r="O81" s="5" t="s">
        <v>2</v>
      </c>
      <c r="P81" s="6">
        <v>17.8</v>
      </c>
      <c r="Q81" s="5" t="s">
        <v>2</v>
      </c>
      <c r="R81" s="18" t="s">
        <v>2</v>
      </c>
      <c r="S81" s="18" t="s">
        <v>2</v>
      </c>
      <c r="T81" s="12">
        <v>2.31</v>
      </c>
      <c r="U81" s="13">
        <f t="shared" si="6"/>
        <v>22.4</v>
      </c>
      <c r="V81" s="19" t="s">
        <v>3</v>
      </c>
      <c r="X81" s="3">
        <f t="shared" si="7"/>
        <v>2.31</v>
      </c>
    </row>
    <row r="82" spans="1:24" hidden="1" x14ac:dyDescent="0.25">
      <c r="A82" s="5" t="s">
        <v>25</v>
      </c>
      <c r="C82" s="19" t="s">
        <v>29</v>
      </c>
      <c r="D82" s="20" t="s">
        <v>28</v>
      </c>
      <c r="E82" s="19" t="s">
        <v>21</v>
      </c>
      <c r="F82" s="19" t="s">
        <v>22</v>
      </c>
      <c r="G82" s="4" t="str">
        <f t="shared" si="5"/>
        <v>10/04/2021</v>
      </c>
      <c r="H82" s="19" t="s">
        <v>1</v>
      </c>
      <c r="I82" s="19" t="s">
        <v>0</v>
      </c>
      <c r="J82" s="5" t="s">
        <v>33</v>
      </c>
      <c r="K82" s="5" t="s">
        <v>34</v>
      </c>
      <c r="L82" s="22" t="str">
        <f>+VLOOKUP(K82,'[1]BASE DE PROVEEDORES'!$A:$B,2,0)</f>
        <v>MARIO ALBERTO MIRANDA FONSECA</v>
      </c>
      <c r="M82" s="25">
        <f>1.55+0.77</f>
        <v>2.3200000000000003</v>
      </c>
      <c r="N82" s="5" t="s">
        <v>2</v>
      </c>
      <c r="O82" s="5" t="s">
        <v>2</v>
      </c>
      <c r="P82" s="6">
        <v>22.73</v>
      </c>
      <c r="Q82" s="5" t="s">
        <v>2</v>
      </c>
      <c r="R82" s="18" t="s">
        <v>2</v>
      </c>
      <c r="S82" s="18" t="s">
        <v>2</v>
      </c>
      <c r="T82" s="12">
        <v>2.95</v>
      </c>
      <c r="U82" s="13">
        <f t="shared" si="6"/>
        <v>28</v>
      </c>
      <c r="V82" s="19" t="s">
        <v>3</v>
      </c>
      <c r="X82" s="3">
        <f t="shared" si="7"/>
        <v>2.95</v>
      </c>
    </row>
    <row r="83" spans="1:24" hidden="1" x14ac:dyDescent="0.25">
      <c r="A83" s="5" t="s">
        <v>25</v>
      </c>
      <c r="B83" s="18" t="s">
        <v>115</v>
      </c>
      <c r="C83" s="20" t="str">
        <f>+LEFT(B83,2)</f>
        <v>10</v>
      </c>
      <c r="D83" s="20" t="str">
        <f>+RIGHT(B83,2)</f>
        <v>04</v>
      </c>
      <c r="E83" s="19" t="s">
        <v>21</v>
      </c>
      <c r="F83" s="19" t="s">
        <v>22</v>
      </c>
      <c r="G83" s="4" t="str">
        <f t="shared" si="5"/>
        <v>10/04/2021</v>
      </c>
      <c r="H83" s="19" t="s">
        <v>1</v>
      </c>
      <c r="I83" s="19" t="s">
        <v>0</v>
      </c>
      <c r="J83" s="5" t="s">
        <v>116</v>
      </c>
      <c r="K83" s="5" t="s">
        <v>55</v>
      </c>
      <c r="L83" s="22" t="str">
        <f>+VLOOKUP(K83,'[1]BASE DE PROVEEDORES'!$A:$B,2,0)</f>
        <v xml:space="preserve">DISTRIBUIDORA DE LUBRICANTES Y COMBUSTIBLES S.A DE C.V </v>
      </c>
      <c r="M83" s="25">
        <v>44.9</v>
      </c>
      <c r="N83" s="5" t="s">
        <v>2</v>
      </c>
      <c r="O83" s="5" t="s">
        <v>2</v>
      </c>
      <c r="P83" s="6">
        <v>345.42</v>
      </c>
      <c r="Q83" s="5" t="s">
        <v>2</v>
      </c>
      <c r="R83" s="18" t="s">
        <v>2</v>
      </c>
      <c r="S83" s="18" t="s">
        <v>2</v>
      </c>
      <c r="T83" s="12">
        <v>44.9</v>
      </c>
      <c r="U83" s="13">
        <f t="shared" si="6"/>
        <v>435.21999999999997</v>
      </c>
      <c r="V83" s="19" t="s">
        <v>3</v>
      </c>
      <c r="X83" s="3">
        <f t="shared" si="7"/>
        <v>44.9</v>
      </c>
    </row>
    <row r="84" spans="1:24" hidden="1" x14ac:dyDescent="0.25">
      <c r="A84" s="5" t="s">
        <v>25</v>
      </c>
      <c r="B84" s="18" t="s">
        <v>115</v>
      </c>
      <c r="C84" s="20" t="str">
        <f>+LEFT(B84,2)</f>
        <v>10</v>
      </c>
      <c r="D84" s="20" t="str">
        <f>+RIGHT(B84,2)</f>
        <v>04</v>
      </c>
      <c r="E84" s="19" t="s">
        <v>21</v>
      </c>
      <c r="F84" s="19" t="s">
        <v>22</v>
      </c>
      <c r="G84" s="4" t="str">
        <f t="shared" si="5"/>
        <v>10/04/2021</v>
      </c>
      <c r="H84" s="19" t="s">
        <v>1</v>
      </c>
      <c r="I84" s="19" t="s">
        <v>0</v>
      </c>
      <c r="J84" s="5" t="s">
        <v>160</v>
      </c>
      <c r="K84" s="5" t="s">
        <v>161</v>
      </c>
      <c r="L84" s="22" t="str">
        <f>+VLOOKUP(K84,'[1]BASE DE PROVEEDORES'!$A:$B,2,0)</f>
        <v>SERTRACEN S.A DE C.V.</v>
      </c>
      <c r="M84" s="25">
        <v>0</v>
      </c>
      <c r="N84" s="5" t="s">
        <v>2</v>
      </c>
      <c r="O84" s="5" t="s">
        <v>2</v>
      </c>
      <c r="P84" s="6">
        <v>42.57</v>
      </c>
      <c r="Q84" s="5" t="s">
        <v>2</v>
      </c>
      <c r="R84" s="18" t="s">
        <v>2</v>
      </c>
      <c r="S84" s="18" t="s">
        <v>2</v>
      </c>
      <c r="T84" s="12">
        <v>5.53</v>
      </c>
      <c r="U84" s="13">
        <f t="shared" si="6"/>
        <v>48.1</v>
      </c>
      <c r="V84" s="19" t="s">
        <v>3</v>
      </c>
      <c r="X84" s="3">
        <f t="shared" si="7"/>
        <v>5.53</v>
      </c>
    </row>
    <row r="85" spans="1:24" hidden="1" x14ac:dyDescent="0.25">
      <c r="A85" s="5" t="s">
        <v>25</v>
      </c>
      <c r="B85" s="18" t="s">
        <v>115</v>
      </c>
      <c r="C85" s="20" t="str">
        <f>+LEFT(B85,2)</f>
        <v>10</v>
      </c>
      <c r="D85" s="20" t="str">
        <f>+RIGHT(B85,2)</f>
        <v>04</v>
      </c>
      <c r="E85" s="19" t="s">
        <v>21</v>
      </c>
      <c r="F85" s="19" t="s">
        <v>22</v>
      </c>
      <c r="G85" s="4" t="str">
        <f t="shared" si="5"/>
        <v>10/04/2021</v>
      </c>
      <c r="H85" s="19" t="s">
        <v>1</v>
      </c>
      <c r="I85" s="19" t="s">
        <v>0</v>
      </c>
      <c r="J85" s="5" t="s">
        <v>176</v>
      </c>
      <c r="K85" s="5" t="s">
        <v>177</v>
      </c>
      <c r="L85" s="22" t="str">
        <f>+VLOOKUP(K85,'[1]BASE DE PROVEEDORES'!$A:$B,2,0)</f>
        <v>DISTRIBUIDORA DE ELECTRICIDAD DELSUR</v>
      </c>
      <c r="M85" s="25">
        <v>0</v>
      </c>
      <c r="N85" s="5" t="s">
        <v>2</v>
      </c>
      <c r="O85" s="5" t="s">
        <v>2</v>
      </c>
      <c r="P85" s="6">
        <v>126.69</v>
      </c>
      <c r="Q85" s="5" t="s">
        <v>2</v>
      </c>
      <c r="R85" s="18" t="s">
        <v>2</v>
      </c>
      <c r="S85" s="18" t="s">
        <v>2</v>
      </c>
      <c r="T85" s="12">
        <v>16.47</v>
      </c>
      <c r="U85" s="13">
        <f t="shared" si="6"/>
        <v>143.16</v>
      </c>
      <c r="V85" s="19" t="s">
        <v>3</v>
      </c>
      <c r="X85" s="3">
        <f t="shared" si="7"/>
        <v>16.47</v>
      </c>
    </row>
    <row r="86" spans="1:24" hidden="1" x14ac:dyDescent="0.25">
      <c r="A86" s="5" t="s">
        <v>25</v>
      </c>
      <c r="B86" s="18" t="s">
        <v>112</v>
      </c>
      <c r="C86" s="20" t="str">
        <f>+LEFT(B86,2)</f>
        <v>11</v>
      </c>
      <c r="D86" s="20" t="str">
        <f>+RIGHT(B86,2)</f>
        <v>04</v>
      </c>
      <c r="E86" s="19" t="s">
        <v>21</v>
      </c>
      <c r="F86" s="19" t="s">
        <v>22</v>
      </c>
      <c r="G86" s="4" t="str">
        <f t="shared" si="5"/>
        <v>11/04/2021</v>
      </c>
      <c r="H86" s="19" t="s">
        <v>1</v>
      </c>
      <c r="I86" s="19" t="s">
        <v>0</v>
      </c>
      <c r="J86" s="5" t="s">
        <v>113</v>
      </c>
      <c r="K86" s="5" t="s">
        <v>55</v>
      </c>
      <c r="L86" s="22" t="str">
        <f>+VLOOKUP(K86,'[1]BASE DE PROVEEDORES'!$A:$B,2,0)</f>
        <v xml:space="preserve">DISTRIBUIDORA DE LUBRICANTES Y COMBUSTIBLES S.A DE C.V </v>
      </c>
      <c r="M86" s="25">
        <f>17.6+8.8</f>
        <v>26.400000000000002</v>
      </c>
      <c r="N86" s="5" t="s">
        <v>2</v>
      </c>
      <c r="O86" s="5" t="s">
        <v>2</v>
      </c>
      <c r="P86" s="6">
        <v>196.97</v>
      </c>
      <c r="Q86" s="5" t="s">
        <v>2</v>
      </c>
      <c r="R86" s="18" t="s">
        <v>2</v>
      </c>
      <c r="S86" s="18" t="s">
        <v>2</v>
      </c>
      <c r="T86" s="12">
        <v>25.61</v>
      </c>
      <c r="U86" s="13">
        <f t="shared" si="6"/>
        <v>248.98000000000002</v>
      </c>
      <c r="V86" s="19" t="s">
        <v>3</v>
      </c>
      <c r="X86" s="3">
        <f t="shared" si="7"/>
        <v>25.61</v>
      </c>
    </row>
    <row r="87" spans="1:24" hidden="1" x14ac:dyDescent="0.25">
      <c r="A87" s="5" t="s">
        <v>25</v>
      </c>
      <c r="B87" s="18" t="s">
        <v>112</v>
      </c>
      <c r="C87" s="20" t="str">
        <f>+LEFT(B87,2)</f>
        <v>11</v>
      </c>
      <c r="D87" s="20" t="str">
        <f>+RIGHT(B87,2)</f>
        <v>04</v>
      </c>
      <c r="E87" s="19" t="s">
        <v>21</v>
      </c>
      <c r="F87" s="19" t="s">
        <v>22</v>
      </c>
      <c r="G87" s="4" t="str">
        <f t="shared" si="5"/>
        <v>11/04/2021</v>
      </c>
      <c r="H87" s="19" t="s">
        <v>1</v>
      </c>
      <c r="I87" s="19" t="s">
        <v>0</v>
      </c>
      <c r="J87" s="5" t="s">
        <v>114</v>
      </c>
      <c r="K87" s="5" t="s">
        <v>55</v>
      </c>
      <c r="L87" s="22" t="str">
        <f>+VLOOKUP(K87,'[1]BASE DE PROVEEDORES'!$A:$B,2,0)</f>
        <v xml:space="preserve">DISTRIBUIDORA DE LUBRICANTES Y COMBUSTIBLES S.A DE C.V </v>
      </c>
      <c r="M87" s="25">
        <f>25.05+12.53</f>
        <v>37.58</v>
      </c>
      <c r="N87" s="5" t="s">
        <v>2</v>
      </c>
      <c r="O87" s="5" t="s">
        <v>2</v>
      </c>
      <c r="P87" s="6">
        <v>280.31</v>
      </c>
      <c r="Q87" s="5" t="s">
        <v>2</v>
      </c>
      <c r="R87" s="18" t="s">
        <v>2</v>
      </c>
      <c r="S87" s="18" t="s">
        <v>2</v>
      </c>
      <c r="T87" s="12">
        <v>36.44</v>
      </c>
      <c r="U87" s="13">
        <f t="shared" si="6"/>
        <v>354.33</v>
      </c>
      <c r="V87" s="19" t="s">
        <v>3</v>
      </c>
      <c r="X87" s="3">
        <f t="shared" si="7"/>
        <v>36.44</v>
      </c>
    </row>
    <row r="88" spans="1:24" hidden="1" x14ac:dyDescent="0.25">
      <c r="A88" s="5" t="s">
        <v>25</v>
      </c>
      <c r="C88" s="19" t="s">
        <v>52</v>
      </c>
      <c r="D88" s="20" t="s">
        <v>28</v>
      </c>
      <c r="E88" s="19" t="s">
        <v>21</v>
      </c>
      <c r="F88" s="19" t="s">
        <v>22</v>
      </c>
      <c r="G88" s="4" t="str">
        <f t="shared" si="5"/>
        <v>12/04/2021</v>
      </c>
      <c r="H88" s="19" t="s">
        <v>1</v>
      </c>
      <c r="I88" s="19" t="s">
        <v>0</v>
      </c>
      <c r="J88" s="5" t="s">
        <v>53</v>
      </c>
      <c r="K88" s="5" t="s">
        <v>42</v>
      </c>
      <c r="L88" s="22" t="str">
        <f>+VLOOKUP(K88,'[1]BASE DE PROVEEDORES'!$A:$B,2,0)</f>
        <v>ECSA OPERADORA EL SALVADOR S.A DE C.V.</v>
      </c>
      <c r="M88" s="25">
        <v>6.9</v>
      </c>
      <c r="N88" s="5" t="s">
        <v>2</v>
      </c>
      <c r="O88" s="5" t="s">
        <v>2</v>
      </c>
      <c r="P88" s="6">
        <v>52.54</v>
      </c>
      <c r="Q88" s="5" t="s">
        <v>2</v>
      </c>
      <c r="R88" s="18" t="s">
        <v>2</v>
      </c>
      <c r="S88" s="18" t="s">
        <v>2</v>
      </c>
      <c r="T88" s="12">
        <v>6.83</v>
      </c>
      <c r="U88" s="13">
        <f t="shared" si="6"/>
        <v>66.27</v>
      </c>
      <c r="V88" s="19" t="s">
        <v>3</v>
      </c>
      <c r="X88" s="3">
        <f t="shared" si="7"/>
        <v>6.83</v>
      </c>
    </row>
    <row r="89" spans="1:24" hidden="1" x14ac:dyDescent="0.25">
      <c r="A89" s="5" t="s">
        <v>25</v>
      </c>
      <c r="B89" s="18" t="s">
        <v>165</v>
      </c>
      <c r="C89" s="20" t="str">
        <f t="shared" ref="C89:C96" si="8">+LEFT(B89,2)</f>
        <v>12</v>
      </c>
      <c r="D89" s="20" t="str">
        <f t="shared" ref="D89:D96" si="9">+RIGHT(B89,2)</f>
        <v>04</v>
      </c>
      <c r="E89" s="19" t="s">
        <v>21</v>
      </c>
      <c r="F89" s="19" t="s">
        <v>22</v>
      </c>
      <c r="G89" s="4" t="str">
        <f t="shared" si="5"/>
        <v>12/04/2021</v>
      </c>
      <c r="H89" s="19" t="s">
        <v>1</v>
      </c>
      <c r="I89" s="19" t="s">
        <v>0</v>
      </c>
      <c r="J89" s="5" t="s">
        <v>166</v>
      </c>
      <c r="K89" s="5" t="s">
        <v>152</v>
      </c>
      <c r="L89" s="22" t="str">
        <f>+VLOOKUP(K89,'[1]BASE DE PROVEEDORES'!$A:$B,2,0)</f>
        <v>ASETCA</v>
      </c>
      <c r="M89" s="25">
        <v>0</v>
      </c>
      <c r="N89" s="5" t="s">
        <v>2</v>
      </c>
      <c r="O89" s="5" t="s">
        <v>2</v>
      </c>
      <c r="P89" s="6">
        <v>5.31</v>
      </c>
      <c r="Q89" s="5" t="s">
        <v>2</v>
      </c>
      <c r="R89" s="18" t="s">
        <v>2</v>
      </c>
      <c r="S89" s="18" t="s">
        <v>2</v>
      </c>
      <c r="T89" s="12">
        <v>0.69</v>
      </c>
      <c r="U89" s="13">
        <f t="shared" si="6"/>
        <v>6</v>
      </c>
      <c r="V89" s="19" t="s">
        <v>3</v>
      </c>
      <c r="X89" s="3">
        <f t="shared" si="7"/>
        <v>0.69</v>
      </c>
    </row>
    <row r="90" spans="1:24" hidden="1" x14ac:dyDescent="0.25">
      <c r="A90" s="5" t="s">
        <v>25</v>
      </c>
      <c r="B90" s="18" t="s">
        <v>165</v>
      </c>
      <c r="C90" s="20" t="str">
        <f t="shared" si="8"/>
        <v>12</v>
      </c>
      <c r="D90" s="20" t="str">
        <f t="shared" si="9"/>
        <v>04</v>
      </c>
      <c r="E90" s="19" t="s">
        <v>21</v>
      </c>
      <c r="F90" s="19" t="s">
        <v>22</v>
      </c>
      <c r="G90" s="4" t="str">
        <f t="shared" si="5"/>
        <v>12/04/2021</v>
      </c>
      <c r="H90" s="19" t="s">
        <v>1</v>
      </c>
      <c r="I90" s="19" t="s">
        <v>0</v>
      </c>
      <c r="J90" s="5" t="s">
        <v>203</v>
      </c>
      <c r="K90" s="5" t="s">
        <v>164</v>
      </c>
      <c r="L90" s="22" t="str">
        <f>+VLOOKUP(K90,'[1]BASE DE PROVEEDORES'!$A:$B,2,0)</f>
        <v>TRANPORTES PESADOS S.A DE C.V.</v>
      </c>
      <c r="M90" s="25">
        <v>0</v>
      </c>
      <c r="N90" s="5" t="s">
        <v>2</v>
      </c>
      <c r="O90" s="5" t="s">
        <v>2</v>
      </c>
      <c r="P90" s="6">
        <v>36.08</v>
      </c>
      <c r="Q90" s="5" t="s">
        <v>2</v>
      </c>
      <c r="R90" s="18" t="s">
        <v>2</v>
      </c>
      <c r="S90" s="18" t="s">
        <v>2</v>
      </c>
      <c r="T90" s="12">
        <v>4.6900000000000004</v>
      </c>
      <c r="U90" s="13">
        <f t="shared" si="6"/>
        <v>40.769999999999996</v>
      </c>
      <c r="V90" s="19" t="s">
        <v>3</v>
      </c>
      <c r="X90" s="3">
        <f t="shared" si="7"/>
        <v>4.6900000000000004</v>
      </c>
    </row>
    <row r="91" spans="1:24" hidden="1" x14ac:dyDescent="0.25">
      <c r="A91" s="5" t="s">
        <v>25</v>
      </c>
      <c r="B91" s="18" t="s">
        <v>109</v>
      </c>
      <c r="C91" s="20" t="str">
        <f t="shared" si="8"/>
        <v>13</v>
      </c>
      <c r="D91" s="20" t="str">
        <f t="shared" si="9"/>
        <v>04</v>
      </c>
      <c r="E91" s="19" t="s">
        <v>21</v>
      </c>
      <c r="F91" s="19" t="s">
        <v>22</v>
      </c>
      <c r="G91" s="4" t="str">
        <f t="shared" si="5"/>
        <v>13/04/2021</v>
      </c>
      <c r="H91" s="19" t="s">
        <v>1</v>
      </c>
      <c r="I91" s="19" t="s">
        <v>0</v>
      </c>
      <c r="J91" s="5" t="s">
        <v>110</v>
      </c>
      <c r="K91" s="5" t="s">
        <v>55</v>
      </c>
      <c r="L91" s="22" t="str">
        <f>+VLOOKUP(K91,'[1]BASE DE PROVEEDORES'!$A:$B,2,0)</f>
        <v xml:space="preserve">DISTRIBUIDORA DE LUBRICANTES Y COMBUSTIBLES S.A DE C.V </v>
      </c>
      <c r="M91" s="25">
        <f>11.24+5.62</f>
        <v>16.86</v>
      </c>
      <c r="N91" s="5" t="s">
        <v>2</v>
      </c>
      <c r="O91" s="5" t="s">
        <v>2</v>
      </c>
      <c r="P91" s="6">
        <v>125.72</v>
      </c>
      <c r="Q91" s="5" t="s">
        <v>2</v>
      </c>
      <c r="R91" s="18" t="s">
        <v>2</v>
      </c>
      <c r="S91" s="18" t="s">
        <v>2</v>
      </c>
      <c r="T91" s="12">
        <v>16.34</v>
      </c>
      <c r="U91" s="13">
        <f t="shared" si="6"/>
        <v>158.91999999999999</v>
      </c>
      <c r="V91" s="19" t="s">
        <v>3</v>
      </c>
      <c r="X91" s="3">
        <f t="shared" si="7"/>
        <v>16.34</v>
      </c>
    </row>
    <row r="92" spans="1:24" hidden="1" x14ac:dyDescent="0.25">
      <c r="A92" s="5" t="s">
        <v>25</v>
      </c>
      <c r="B92" s="18" t="s">
        <v>109</v>
      </c>
      <c r="C92" s="20" t="str">
        <f t="shared" si="8"/>
        <v>13</v>
      </c>
      <c r="D92" s="20" t="str">
        <f t="shared" si="9"/>
        <v>04</v>
      </c>
      <c r="E92" s="19" t="s">
        <v>21</v>
      </c>
      <c r="F92" s="19" t="s">
        <v>22</v>
      </c>
      <c r="G92" s="4" t="str">
        <f t="shared" si="5"/>
        <v>13/04/2021</v>
      </c>
      <c r="H92" s="19" t="s">
        <v>1</v>
      </c>
      <c r="I92" s="19" t="s">
        <v>0</v>
      </c>
      <c r="J92" s="5" t="s">
        <v>111</v>
      </c>
      <c r="K92" s="5" t="s">
        <v>55</v>
      </c>
      <c r="L92" s="22" t="str">
        <f>+VLOOKUP(K92,'[1]BASE DE PROVEEDORES'!$A:$B,2,0)</f>
        <v xml:space="preserve">DISTRIBUIDORA DE LUBRICANTES Y COMBUSTIBLES S.A DE C.V </v>
      </c>
      <c r="M92" s="25">
        <f>3.44+1.72</f>
        <v>5.16</v>
      </c>
      <c r="N92" s="5" t="s">
        <v>2</v>
      </c>
      <c r="O92" s="5" t="s">
        <v>2</v>
      </c>
      <c r="P92" s="6">
        <v>38.520000000000003</v>
      </c>
      <c r="Q92" s="5" t="s">
        <v>2</v>
      </c>
      <c r="R92" s="18" t="s">
        <v>2</v>
      </c>
      <c r="S92" s="18" t="s">
        <v>2</v>
      </c>
      <c r="T92" s="12">
        <v>5.01</v>
      </c>
      <c r="U92" s="13">
        <f t="shared" si="6"/>
        <v>48.690000000000005</v>
      </c>
      <c r="V92" s="19" t="s">
        <v>3</v>
      </c>
      <c r="X92" s="3">
        <f t="shared" si="7"/>
        <v>5.01</v>
      </c>
    </row>
    <row r="93" spans="1:24" hidden="1" x14ac:dyDescent="0.25">
      <c r="A93" s="5" t="s">
        <v>25</v>
      </c>
      <c r="B93" s="18" t="s">
        <v>109</v>
      </c>
      <c r="C93" s="20" t="str">
        <f t="shared" si="8"/>
        <v>13</v>
      </c>
      <c r="D93" s="20" t="str">
        <f t="shared" si="9"/>
        <v>04</v>
      </c>
      <c r="E93" s="19" t="s">
        <v>21</v>
      </c>
      <c r="F93" s="19" t="s">
        <v>22</v>
      </c>
      <c r="G93" s="4" t="str">
        <f t="shared" si="5"/>
        <v>13/04/2021</v>
      </c>
      <c r="H93" s="19" t="s">
        <v>1</v>
      </c>
      <c r="I93" s="19" t="s">
        <v>0</v>
      </c>
      <c r="J93" s="5" t="s">
        <v>198</v>
      </c>
      <c r="K93" s="5" t="s">
        <v>192</v>
      </c>
      <c r="L93" s="22" t="str">
        <f>+VLOOKUP(K93,'[1]BASE DE PROVEEDORES'!$A:$B,2,0)</f>
        <v>REPUESTOS NOE S.A DE C.V.</v>
      </c>
      <c r="M93" s="25">
        <v>0</v>
      </c>
      <c r="N93" s="5" t="s">
        <v>2</v>
      </c>
      <c r="O93" s="5" t="s">
        <v>2</v>
      </c>
      <c r="P93" s="6">
        <v>40</v>
      </c>
      <c r="Q93" s="5" t="s">
        <v>2</v>
      </c>
      <c r="R93" s="18" t="s">
        <v>2</v>
      </c>
      <c r="S93" s="18" t="s">
        <v>2</v>
      </c>
      <c r="T93" s="12">
        <v>5.2</v>
      </c>
      <c r="U93" s="13">
        <f t="shared" si="6"/>
        <v>45.2</v>
      </c>
      <c r="V93" s="19" t="s">
        <v>3</v>
      </c>
      <c r="X93" s="3">
        <f t="shared" si="7"/>
        <v>5.2</v>
      </c>
    </row>
    <row r="94" spans="1:24" hidden="1" x14ac:dyDescent="0.25">
      <c r="A94" s="5" t="s">
        <v>25</v>
      </c>
      <c r="B94" s="18" t="s">
        <v>199</v>
      </c>
      <c r="C94" s="20" t="str">
        <f t="shared" si="8"/>
        <v>14</v>
      </c>
      <c r="D94" s="20" t="str">
        <f t="shared" si="9"/>
        <v>04</v>
      </c>
      <c r="E94" s="19" t="s">
        <v>21</v>
      </c>
      <c r="F94" s="19" t="s">
        <v>22</v>
      </c>
      <c r="G94" s="4" t="str">
        <f t="shared" si="5"/>
        <v>14/04/2021</v>
      </c>
      <c r="H94" s="19" t="s">
        <v>1</v>
      </c>
      <c r="I94" s="19" t="s">
        <v>0</v>
      </c>
      <c r="J94" s="5" t="s">
        <v>200</v>
      </c>
      <c r="K94" s="5" t="s">
        <v>190</v>
      </c>
      <c r="L94" s="22" t="str">
        <f>+VLOOKUP(K94,'[1]BASE DE PROVEEDORES'!$A:$B,2,0)</f>
        <v>LLANTAS Y ACCESORIOS S.A DE C.V.</v>
      </c>
      <c r="M94" s="25">
        <v>0</v>
      </c>
      <c r="N94" s="5" t="s">
        <v>2</v>
      </c>
      <c r="O94" s="5" t="s">
        <v>2</v>
      </c>
      <c r="P94" s="6">
        <v>141.59</v>
      </c>
      <c r="Q94" s="5" t="s">
        <v>2</v>
      </c>
      <c r="R94" s="18" t="s">
        <v>2</v>
      </c>
      <c r="S94" s="18" t="s">
        <v>2</v>
      </c>
      <c r="T94" s="12">
        <v>18.41</v>
      </c>
      <c r="U94" s="13">
        <f t="shared" si="6"/>
        <v>160</v>
      </c>
      <c r="V94" s="19" t="s">
        <v>3</v>
      </c>
      <c r="X94" s="3">
        <f t="shared" si="7"/>
        <v>18.41</v>
      </c>
    </row>
    <row r="95" spans="1:24" hidden="1" x14ac:dyDescent="0.25">
      <c r="A95" s="5" t="s">
        <v>25</v>
      </c>
      <c r="B95" s="18" t="s">
        <v>219</v>
      </c>
      <c r="C95" s="20" t="str">
        <f t="shared" si="8"/>
        <v>15</v>
      </c>
      <c r="D95" s="20" t="str">
        <f t="shared" si="9"/>
        <v>04</v>
      </c>
      <c r="E95" s="19" t="s">
        <v>21</v>
      </c>
      <c r="F95" s="19" t="s">
        <v>22</v>
      </c>
      <c r="G95" s="4" t="str">
        <f t="shared" si="5"/>
        <v>15/04/2021</v>
      </c>
      <c r="H95" s="19" t="s">
        <v>1</v>
      </c>
      <c r="I95" s="19" t="s">
        <v>0</v>
      </c>
      <c r="J95" s="5" t="s">
        <v>220</v>
      </c>
      <c r="K95" s="5" t="s">
        <v>164</v>
      </c>
      <c r="L95" s="22" t="str">
        <f>+VLOOKUP(K95,'[1]BASE DE PROVEEDORES'!$A:$B,2,0)</f>
        <v>TRANPORTES PESADOS S.A DE C.V.</v>
      </c>
      <c r="M95" s="25">
        <v>0</v>
      </c>
      <c r="N95" s="5" t="s">
        <v>2</v>
      </c>
      <c r="O95" s="5" t="s">
        <v>2</v>
      </c>
      <c r="P95" s="6">
        <v>42.04</v>
      </c>
      <c r="Q95" s="5" t="s">
        <v>2</v>
      </c>
      <c r="R95" s="18" t="s">
        <v>2</v>
      </c>
      <c r="S95" s="18" t="s">
        <v>2</v>
      </c>
      <c r="T95" s="12">
        <v>5.47</v>
      </c>
      <c r="U95" s="13">
        <f t="shared" si="6"/>
        <v>47.51</v>
      </c>
      <c r="V95" s="19" t="s">
        <v>3</v>
      </c>
      <c r="X95" s="3">
        <f t="shared" si="7"/>
        <v>5.47</v>
      </c>
    </row>
    <row r="96" spans="1:24" hidden="1" x14ac:dyDescent="0.25">
      <c r="A96" s="5" t="s">
        <v>25</v>
      </c>
      <c r="B96" s="18" t="s">
        <v>219</v>
      </c>
      <c r="C96" s="20" t="str">
        <f t="shared" si="8"/>
        <v>15</v>
      </c>
      <c r="D96" s="20" t="str">
        <f t="shared" si="9"/>
        <v>04</v>
      </c>
      <c r="E96" s="19" t="s">
        <v>21</v>
      </c>
      <c r="F96" s="19" t="s">
        <v>22</v>
      </c>
      <c r="G96" s="4" t="str">
        <f t="shared" si="5"/>
        <v>15/04/2021</v>
      </c>
      <c r="H96" s="19" t="s">
        <v>1</v>
      </c>
      <c r="I96" s="19" t="s">
        <v>0</v>
      </c>
      <c r="J96" s="5" t="s">
        <v>221</v>
      </c>
      <c r="K96" s="5" t="s">
        <v>222</v>
      </c>
      <c r="L96" s="22" t="str">
        <f>+VLOOKUP(K96,'[1]BASE DE PROVEEDORES'!$A:$B,2,0)</f>
        <v>JOSE MARIA SALINAS DERAS</v>
      </c>
      <c r="M96" s="25">
        <v>0</v>
      </c>
      <c r="N96" s="5" t="s">
        <v>2</v>
      </c>
      <c r="O96" s="5" t="s">
        <v>2</v>
      </c>
      <c r="P96" s="6">
        <v>467.55</v>
      </c>
      <c r="Q96" s="5" t="s">
        <v>2</v>
      </c>
      <c r="R96" s="18" t="s">
        <v>2</v>
      </c>
      <c r="S96" s="18" t="s">
        <v>2</v>
      </c>
      <c r="T96" s="12">
        <v>60.78</v>
      </c>
      <c r="U96" s="13">
        <f t="shared" si="6"/>
        <v>528.33000000000004</v>
      </c>
      <c r="V96" s="19" t="s">
        <v>3</v>
      </c>
      <c r="X96" s="3">
        <f t="shared" si="7"/>
        <v>60.78</v>
      </c>
    </row>
    <row r="97" spans="1:24" hidden="1" x14ac:dyDescent="0.25">
      <c r="A97" s="5" t="s">
        <v>25</v>
      </c>
      <c r="C97" s="19" t="s">
        <v>43</v>
      </c>
      <c r="D97" s="20" t="s">
        <v>28</v>
      </c>
      <c r="E97" s="19" t="s">
        <v>21</v>
      </c>
      <c r="F97" s="19" t="s">
        <v>22</v>
      </c>
      <c r="G97" s="4" t="str">
        <f t="shared" si="5"/>
        <v>16/04/2021</v>
      </c>
      <c r="H97" s="19" t="s">
        <v>1</v>
      </c>
      <c r="I97" s="19" t="s">
        <v>0</v>
      </c>
      <c r="J97" s="5" t="s">
        <v>44</v>
      </c>
      <c r="K97" s="5" t="s">
        <v>42</v>
      </c>
      <c r="L97" s="22" t="str">
        <f>+VLOOKUP(K97,'[1]BASE DE PROVEEDORES'!$A:$B,2,0)</f>
        <v>ECSA OPERADORA EL SALVADOR S.A DE C.V.</v>
      </c>
      <c r="M97" s="25">
        <v>3.97</v>
      </c>
      <c r="N97" s="5" t="s">
        <v>2</v>
      </c>
      <c r="O97" s="5" t="s">
        <v>2</v>
      </c>
      <c r="P97" s="6">
        <v>30.17</v>
      </c>
      <c r="Q97" s="5" t="s">
        <v>2</v>
      </c>
      <c r="R97" s="18" t="s">
        <v>2</v>
      </c>
      <c r="S97" s="18" t="s">
        <v>2</v>
      </c>
      <c r="T97" s="12">
        <v>3.92</v>
      </c>
      <c r="U97" s="13">
        <f t="shared" si="6"/>
        <v>38.06</v>
      </c>
      <c r="V97" s="19" t="s">
        <v>3</v>
      </c>
      <c r="X97" s="3">
        <f t="shared" si="7"/>
        <v>3.92</v>
      </c>
    </row>
    <row r="98" spans="1:24" hidden="1" x14ac:dyDescent="0.25">
      <c r="A98" s="5" t="s">
        <v>25</v>
      </c>
      <c r="C98" s="19" t="s">
        <v>43</v>
      </c>
      <c r="D98" s="20" t="s">
        <v>28</v>
      </c>
      <c r="E98" s="19" t="s">
        <v>21</v>
      </c>
      <c r="F98" s="19" t="s">
        <v>22</v>
      </c>
      <c r="G98" s="4" t="str">
        <f t="shared" ref="G98:G129" si="10">+C98&amp;F98&amp;D98&amp;F98&amp;E98</f>
        <v>16/04/2021</v>
      </c>
      <c r="H98" s="19" t="s">
        <v>1</v>
      </c>
      <c r="I98" s="19" t="s">
        <v>0</v>
      </c>
      <c r="J98" s="5" t="s">
        <v>45</v>
      </c>
      <c r="K98" s="5" t="s">
        <v>42</v>
      </c>
      <c r="L98" s="22" t="str">
        <f>+VLOOKUP(K98,'[1]BASE DE PROVEEDORES'!$A:$B,2,0)</f>
        <v>ECSA OPERADORA EL SALVADOR S.A DE C.V.</v>
      </c>
      <c r="M98" s="25">
        <v>5.56</v>
      </c>
      <c r="N98" s="5" t="s">
        <v>2</v>
      </c>
      <c r="O98" s="5" t="s">
        <v>2</v>
      </c>
      <c r="P98" s="6">
        <v>42.34</v>
      </c>
      <c r="Q98" s="5" t="s">
        <v>2</v>
      </c>
      <c r="R98" s="18" t="s">
        <v>2</v>
      </c>
      <c r="S98" s="18" t="s">
        <v>2</v>
      </c>
      <c r="T98" s="12">
        <v>5.5</v>
      </c>
      <c r="U98" s="13">
        <f t="shared" ref="U98:U129" si="11">+M98+P98+T98</f>
        <v>53.400000000000006</v>
      </c>
      <c r="V98" s="19" t="s">
        <v>3</v>
      </c>
      <c r="X98" s="3">
        <f t="shared" si="7"/>
        <v>5.5</v>
      </c>
    </row>
    <row r="99" spans="1:24" hidden="1" x14ac:dyDescent="0.25">
      <c r="A99" s="5" t="s">
        <v>25</v>
      </c>
      <c r="B99" s="18" t="s">
        <v>147</v>
      </c>
      <c r="C99" s="20" t="str">
        <f>+LEFT(B99,2)</f>
        <v>16</v>
      </c>
      <c r="D99" s="20" t="str">
        <f>+RIGHT(B99,2)</f>
        <v>04</v>
      </c>
      <c r="E99" s="19" t="s">
        <v>21</v>
      </c>
      <c r="F99" s="19" t="s">
        <v>22</v>
      </c>
      <c r="G99" s="4" t="str">
        <f t="shared" si="10"/>
        <v>16/04/2021</v>
      </c>
      <c r="H99" s="19" t="s">
        <v>1</v>
      </c>
      <c r="I99" s="19" t="s">
        <v>0</v>
      </c>
      <c r="J99" s="5" t="s">
        <v>148</v>
      </c>
      <c r="K99" s="5" t="s">
        <v>149</v>
      </c>
      <c r="L99" s="22" t="str">
        <f>+VLOOKUP(K99,'[1]BASE DE PROVEEDORES'!$A:$B,2,0)</f>
        <v>ALMACENES VIDRI, S.A DE C.V.</v>
      </c>
      <c r="M99" s="25">
        <v>0</v>
      </c>
      <c r="N99" s="5" t="s">
        <v>2</v>
      </c>
      <c r="O99" s="5" t="s">
        <v>2</v>
      </c>
      <c r="P99" s="6">
        <v>45</v>
      </c>
      <c r="Q99" s="5" t="s">
        <v>2</v>
      </c>
      <c r="R99" s="18" t="s">
        <v>2</v>
      </c>
      <c r="S99" s="18" t="s">
        <v>2</v>
      </c>
      <c r="T99" s="12">
        <v>5.85</v>
      </c>
      <c r="U99" s="13">
        <f t="shared" si="11"/>
        <v>50.85</v>
      </c>
      <c r="V99" s="19" t="s">
        <v>3</v>
      </c>
      <c r="X99" s="3">
        <f t="shared" si="7"/>
        <v>5.85</v>
      </c>
    </row>
    <row r="100" spans="1:24" hidden="1" x14ac:dyDescent="0.25">
      <c r="A100" s="5" t="s">
        <v>25</v>
      </c>
      <c r="B100" s="18" t="s">
        <v>147</v>
      </c>
      <c r="C100" s="20" t="str">
        <f>+LEFT(B100,2)</f>
        <v>16</v>
      </c>
      <c r="D100" s="20" t="str">
        <f>+RIGHT(B100,2)</f>
        <v>04</v>
      </c>
      <c r="E100" s="19" t="s">
        <v>21</v>
      </c>
      <c r="F100" s="19" t="s">
        <v>22</v>
      </c>
      <c r="G100" s="4" t="str">
        <f t="shared" si="10"/>
        <v>16/04/2021</v>
      </c>
      <c r="H100" s="19" t="s">
        <v>1</v>
      </c>
      <c r="I100" s="19" t="s">
        <v>0</v>
      </c>
      <c r="J100" s="5" t="s">
        <v>153</v>
      </c>
      <c r="K100" s="5" t="s">
        <v>154</v>
      </c>
      <c r="L100" s="22" t="str">
        <f>+VLOOKUP(K100,'[1]BASE DE PROVEEDORES'!$A:$B,2,0)</f>
        <v xml:space="preserve">TALLER DIDEA S.A DE C.V </v>
      </c>
      <c r="M100" s="25">
        <v>0</v>
      </c>
      <c r="N100" s="5" t="s">
        <v>2</v>
      </c>
      <c r="O100" s="5" t="s">
        <v>2</v>
      </c>
      <c r="P100" s="6">
        <v>128.32</v>
      </c>
      <c r="Q100" s="5" t="s">
        <v>2</v>
      </c>
      <c r="R100" s="18" t="s">
        <v>2</v>
      </c>
      <c r="S100" s="18" t="s">
        <v>2</v>
      </c>
      <c r="T100" s="12">
        <v>16.68</v>
      </c>
      <c r="U100" s="13">
        <f t="shared" si="11"/>
        <v>145</v>
      </c>
      <c r="V100" s="19" t="s">
        <v>3</v>
      </c>
      <c r="X100" s="3">
        <f t="shared" si="7"/>
        <v>16.68</v>
      </c>
    </row>
    <row r="101" spans="1:24" hidden="1" x14ac:dyDescent="0.25">
      <c r="A101" s="5" t="s">
        <v>25</v>
      </c>
      <c r="C101" s="19" t="s">
        <v>30</v>
      </c>
      <c r="D101" s="20" t="s">
        <v>28</v>
      </c>
      <c r="E101" s="19" t="s">
        <v>21</v>
      </c>
      <c r="F101" s="19" t="s">
        <v>22</v>
      </c>
      <c r="G101" s="4" t="str">
        <f t="shared" si="10"/>
        <v>18/04/2021</v>
      </c>
      <c r="H101" s="19" t="s">
        <v>1</v>
      </c>
      <c r="I101" s="19" t="s">
        <v>0</v>
      </c>
      <c r="J101" s="5" t="s">
        <v>31</v>
      </c>
      <c r="K101" s="5" t="s">
        <v>32</v>
      </c>
      <c r="L101" s="22" t="str">
        <f>+VLOOKUP(K101,'[1]BASE DE PROVEEDORES'!$A:$B,2,0)</f>
        <v>ALEJANDRO FRANCISCO MONTOYA GIRON</v>
      </c>
      <c r="M101" s="25">
        <v>3.64</v>
      </c>
      <c r="N101" s="5" t="s">
        <v>2</v>
      </c>
      <c r="O101" s="5" t="s">
        <v>2</v>
      </c>
      <c r="P101" s="6">
        <v>34.83</v>
      </c>
      <c r="Q101" s="5" t="s">
        <v>2</v>
      </c>
      <c r="R101" s="18" t="s">
        <v>2</v>
      </c>
      <c r="S101" s="18" t="s">
        <v>2</v>
      </c>
      <c r="T101" s="12">
        <v>4.53</v>
      </c>
      <c r="U101" s="13">
        <f t="shared" si="11"/>
        <v>43</v>
      </c>
      <c r="V101" s="19" t="s">
        <v>3</v>
      </c>
      <c r="X101" s="3">
        <f t="shared" si="7"/>
        <v>4.53</v>
      </c>
    </row>
    <row r="102" spans="1:24" hidden="1" x14ac:dyDescent="0.25">
      <c r="A102" s="5" t="s">
        <v>25</v>
      </c>
      <c r="B102" s="18" t="s">
        <v>155</v>
      </c>
      <c r="C102" s="20" t="str">
        <f>+LEFT(B102,2)</f>
        <v>19</v>
      </c>
      <c r="D102" s="20" t="str">
        <f>+RIGHT(B102,2)</f>
        <v>04</v>
      </c>
      <c r="E102" s="19" t="s">
        <v>21</v>
      </c>
      <c r="F102" s="19" t="s">
        <v>22</v>
      </c>
      <c r="G102" s="4" t="str">
        <f t="shared" si="10"/>
        <v>19/04/2021</v>
      </c>
      <c r="H102" s="19" t="s">
        <v>1</v>
      </c>
      <c r="I102" s="19" t="s">
        <v>0</v>
      </c>
      <c r="J102" s="5" t="s">
        <v>156</v>
      </c>
      <c r="K102" s="5" t="s">
        <v>157</v>
      </c>
      <c r="L102" s="22" t="str">
        <f>+VLOOKUP(K102,'[1]BASE DE PROVEEDORES'!$A:$B,2,0)</f>
        <v xml:space="preserve">GALVANIS S.A DE C.V </v>
      </c>
      <c r="M102" s="25">
        <v>0</v>
      </c>
      <c r="N102" s="5" t="s">
        <v>2</v>
      </c>
      <c r="O102" s="5" t="s">
        <v>2</v>
      </c>
      <c r="P102" s="6">
        <v>12.2</v>
      </c>
      <c r="Q102" s="5" t="s">
        <v>2</v>
      </c>
      <c r="R102" s="18" t="s">
        <v>2</v>
      </c>
      <c r="S102" s="18" t="s">
        <v>2</v>
      </c>
      <c r="T102" s="12">
        <v>1.59</v>
      </c>
      <c r="U102" s="13">
        <f t="shared" si="11"/>
        <v>13.79</v>
      </c>
      <c r="V102" s="19" t="s">
        <v>3</v>
      </c>
      <c r="X102" s="3">
        <f t="shared" si="7"/>
        <v>1.59</v>
      </c>
    </row>
    <row r="103" spans="1:24" hidden="1" x14ac:dyDescent="0.25">
      <c r="A103" s="5" t="s">
        <v>25</v>
      </c>
      <c r="B103" s="18" t="s">
        <v>216</v>
      </c>
      <c r="C103" s="20" t="str">
        <f>+LEFT(B103,2)</f>
        <v>20</v>
      </c>
      <c r="D103" s="20" t="str">
        <f>+RIGHT(B103,2)</f>
        <v>04</v>
      </c>
      <c r="E103" s="19" t="s">
        <v>21</v>
      </c>
      <c r="F103" s="19" t="s">
        <v>22</v>
      </c>
      <c r="G103" s="4" t="str">
        <f t="shared" si="10"/>
        <v>20/04/2021</v>
      </c>
      <c r="H103" s="19" t="s">
        <v>1</v>
      </c>
      <c r="I103" s="19" t="s">
        <v>0</v>
      </c>
      <c r="J103" s="5" t="s">
        <v>217</v>
      </c>
      <c r="K103" s="5" t="s">
        <v>218</v>
      </c>
      <c r="L103" s="22" t="str">
        <f>+VLOOKUP(K103,'[1]BASE DE PROVEEDORES'!$A:$B,2,0)</f>
        <v>IMPRESSA S.A DE C.V.</v>
      </c>
      <c r="M103" s="25">
        <v>0</v>
      </c>
      <c r="N103" s="5" t="s">
        <v>2</v>
      </c>
      <c r="O103" s="5" t="s">
        <v>2</v>
      </c>
      <c r="P103" s="6">
        <v>16.5</v>
      </c>
      <c r="Q103" s="5" t="s">
        <v>2</v>
      </c>
      <c r="R103" s="18" t="s">
        <v>2</v>
      </c>
      <c r="S103" s="18" t="s">
        <v>2</v>
      </c>
      <c r="T103" s="12">
        <v>2.15</v>
      </c>
      <c r="U103" s="13">
        <f t="shared" si="11"/>
        <v>18.649999999999999</v>
      </c>
      <c r="V103" s="19" t="s">
        <v>3</v>
      </c>
      <c r="X103" s="3">
        <f t="shared" si="7"/>
        <v>2.15</v>
      </c>
    </row>
    <row r="104" spans="1:24" hidden="1" x14ac:dyDescent="0.25">
      <c r="A104" s="5" t="s">
        <v>25</v>
      </c>
      <c r="C104" s="19" t="s">
        <v>35</v>
      </c>
      <c r="D104" s="20" t="s">
        <v>28</v>
      </c>
      <c r="E104" s="19" t="s">
        <v>21</v>
      </c>
      <c r="F104" s="19" t="s">
        <v>22</v>
      </c>
      <c r="G104" s="4" t="str">
        <f t="shared" si="10"/>
        <v>21/04/2021</v>
      </c>
      <c r="H104" s="19" t="s">
        <v>1</v>
      </c>
      <c r="I104" s="19" t="s">
        <v>0</v>
      </c>
      <c r="J104" s="5" t="s">
        <v>36</v>
      </c>
      <c r="K104" s="5" t="s">
        <v>37</v>
      </c>
      <c r="L104" s="22" t="str">
        <f>+VLOOKUP(K104,'[1]BASE DE PROVEEDORES'!$A:$B,2,0)</f>
        <v>INVERSIONES RAMIREZ QUINTANILLA S.A DE C.V.</v>
      </c>
      <c r="M104" s="25">
        <f>3.24+1.62</f>
        <v>4.8600000000000003</v>
      </c>
      <c r="N104" s="5" t="s">
        <v>2</v>
      </c>
      <c r="O104" s="5" t="s">
        <v>2</v>
      </c>
      <c r="P104" s="6">
        <v>46.42</v>
      </c>
      <c r="Q104" s="5" t="s">
        <v>2</v>
      </c>
      <c r="R104" s="18" t="s">
        <v>2</v>
      </c>
      <c r="S104" s="18" t="s">
        <v>2</v>
      </c>
      <c r="T104" s="12">
        <v>6.03</v>
      </c>
      <c r="U104" s="13">
        <f t="shared" si="11"/>
        <v>57.31</v>
      </c>
      <c r="V104" s="19" t="s">
        <v>3</v>
      </c>
      <c r="X104" s="3">
        <f t="shared" si="7"/>
        <v>6.03</v>
      </c>
    </row>
    <row r="105" spans="1:24" hidden="1" x14ac:dyDescent="0.25">
      <c r="A105" s="5" t="s">
        <v>25</v>
      </c>
      <c r="B105" s="18" t="s">
        <v>141</v>
      </c>
      <c r="C105" s="20" t="str">
        <f>+LEFT(B105,2)</f>
        <v>21</v>
      </c>
      <c r="D105" s="20" t="str">
        <f>+RIGHT(B105,2)</f>
        <v>04</v>
      </c>
      <c r="E105" s="19" t="s">
        <v>21</v>
      </c>
      <c r="F105" s="19" t="s">
        <v>22</v>
      </c>
      <c r="G105" s="4" t="str">
        <f t="shared" si="10"/>
        <v>21/04/2021</v>
      </c>
      <c r="H105" s="19" t="s">
        <v>1</v>
      </c>
      <c r="I105" s="19" t="s">
        <v>0</v>
      </c>
      <c r="J105" s="5" t="s">
        <v>142</v>
      </c>
      <c r="K105" s="5" t="s">
        <v>55</v>
      </c>
      <c r="L105" s="22" t="str">
        <f>+VLOOKUP(K105,'[1]BASE DE PROVEEDORES'!$A:$B,2,0)</f>
        <v xml:space="preserve">DISTRIBUIDORA DE LUBRICANTES Y COMBUSTIBLES S.A DE C.V </v>
      </c>
      <c r="M105" s="25">
        <f>11.32+5.66</f>
        <v>16.98</v>
      </c>
      <c r="N105" s="5" t="s">
        <v>2</v>
      </c>
      <c r="O105" s="5" t="s">
        <v>2</v>
      </c>
      <c r="P105" s="6">
        <v>123.8</v>
      </c>
      <c r="Q105" s="5" t="s">
        <v>2</v>
      </c>
      <c r="R105" s="18" t="s">
        <v>2</v>
      </c>
      <c r="S105" s="18" t="s">
        <v>2</v>
      </c>
      <c r="T105" s="12">
        <v>16.09</v>
      </c>
      <c r="U105" s="13">
        <f t="shared" si="11"/>
        <v>156.87</v>
      </c>
      <c r="V105" s="19" t="s">
        <v>3</v>
      </c>
      <c r="X105" s="3">
        <f t="shared" si="7"/>
        <v>16.09</v>
      </c>
    </row>
    <row r="106" spans="1:24" hidden="1" x14ac:dyDescent="0.25">
      <c r="A106" s="5" t="s">
        <v>25</v>
      </c>
      <c r="B106" s="18" t="s">
        <v>141</v>
      </c>
      <c r="C106" s="20" t="str">
        <f>+LEFT(B106,2)</f>
        <v>21</v>
      </c>
      <c r="D106" s="20" t="str">
        <f>+RIGHT(B106,2)</f>
        <v>04</v>
      </c>
      <c r="E106" s="19" t="s">
        <v>21</v>
      </c>
      <c r="F106" s="19" t="s">
        <v>22</v>
      </c>
      <c r="G106" s="4" t="str">
        <f t="shared" si="10"/>
        <v>21/04/2021</v>
      </c>
      <c r="H106" s="19" t="s">
        <v>1</v>
      </c>
      <c r="I106" s="19" t="s">
        <v>0</v>
      </c>
      <c r="J106" s="5" t="s">
        <v>143</v>
      </c>
      <c r="K106" s="5" t="s">
        <v>55</v>
      </c>
      <c r="L106" s="22" t="str">
        <f>+VLOOKUP(K106,'[1]BASE DE PROVEEDORES'!$A:$B,2,0)</f>
        <v xml:space="preserve">DISTRIBUIDORA DE LUBRICANTES Y COMBUSTIBLES S.A DE C.V </v>
      </c>
      <c r="M106" s="25">
        <f>2.64+1.32</f>
        <v>3.96</v>
      </c>
      <c r="N106" s="5" t="s">
        <v>2</v>
      </c>
      <c r="O106" s="5" t="s">
        <v>2</v>
      </c>
      <c r="P106" s="6">
        <v>28.84</v>
      </c>
      <c r="Q106" s="5" t="s">
        <v>2</v>
      </c>
      <c r="R106" s="18" t="s">
        <v>2</v>
      </c>
      <c r="S106" s="18" t="s">
        <v>2</v>
      </c>
      <c r="T106" s="12">
        <v>3.75</v>
      </c>
      <c r="U106" s="13">
        <f t="shared" si="11"/>
        <v>36.549999999999997</v>
      </c>
      <c r="V106" s="19" t="s">
        <v>3</v>
      </c>
      <c r="X106" s="3">
        <f t="shared" si="7"/>
        <v>3.75</v>
      </c>
    </row>
    <row r="107" spans="1:24" hidden="1" x14ac:dyDescent="0.25">
      <c r="A107" s="5" t="s">
        <v>25</v>
      </c>
      <c r="B107" s="18" t="s">
        <v>141</v>
      </c>
      <c r="C107" s="20" t="str">
        <f>+LEFT(B107,2)</f>
        <v>21</v>
      </c>
      <c r="D107" s="20" t="str">
        <f>+RIGHT(B107,2)</f>
        <v>04</v>
      </c>
      <c r="E107" s="19" t="s">
        <v>21</v>
      </c>
      <c r="F107" s="19" t="s">
        <v>22</v>
      </c>
      <c r="G107" s="4" t="str">
        <f t="shared" si="10"/>
        <v>21/04/2021</v>
      </c>
      <c r="H107" s="19" t="s">
        <v>1</v>
      </c>
      <c r="I107" s="19" t="s">
        <v>0</v>
      </c>
      <c r="J107" s="5" t="s">
        <v>144</v>
      </c>
      <c r="K107" s="5" t="s">
        <v>55</v>
      </c>
      <c r="L107" s="22" t="str">
        <f>+VLOOKUP(K107,'[1]BASE DE PROVEEDORES'!$A:$B,2,0)</f>
        <v xml:space="preserve">DISTRIBUIDORA DE LUBRICANTES Y COMBUSTIBLES S.A DE C.V </v>
      </c>
      <c r="M107" s="25">
        <f>5.81+2.91</f>
        <v>8.7199999999999989</v>
      </c>
      <c r="N107" s="5" t="s">
        <v>2</v>
      </c>
      <c r="O107" s="5" t="s">
        <v>2</v>
      </c>
      <c r="P107" s="6">
        <v>63.52</v>
      </c>
      <c r="Q107" s="5" t="s">
        <v>2</v>
      </c>
      <c r="R107" s="18" t="s">
        <v>2</v>
      </c>
      <c r="S107" s="18" t="s">
        <v>2</v>
      </c>
      <c r="T107" s="12">
        <v>8.26</v>
      </c>
      <c r="U107" s="13">
        <f t="shared" si="11"/>
        <v>80.500000000000014</v>
      </c>
      <c r="V107" s="19" t="s">
        <v>3</v>
      </c>
      <c r="X107" s="3">
        <f t="shared" si="7"/>
        <v>8.26</v>
      </c>
    </row>
    <row r="108" spans="1:24" hidden="1" x14ac:dyDescent="0.25">
      <c r="A108" s="5" t="s">
        <v>25</v>
      </c>
      <c r="B108" s="18" t="s">
        <v>141</v>
      </c>
      <c r="C108" s="20" t="str">
        <f>+LEFT(B108,2)</f>
        <v>21</v>
      </c>
      <c r="D108" s="20" t="str">
        <f>+RIGHT(B108,2)</f>
        <v>04</v>
      </c>
      <c r="E108" s="19" t="s">
        <v>21</v>
      </c>
      <c r="F108" s="19" t="s">
        <v>22</v>
      </c>
      <c r="G108" s="4" t="str">
        <f t="shared" si="10"/>
        <v>21/04/2021</v>
      </c>
      <c r="H108" s="19" t="s">
        <v>1</v>
      </c>
      <c r="I108" s="19" t="s">
        <v>0</v>
      </c>
      <c r="J108" s="5" t="s">
        <v>145</v>
      </c>
      <c r="K108" s="5" t="s">
        <v>146</v>
      </c>
      <c r="L108" s="22" t="str">
        <f>+VLOOKUP(K108,'[1]BASE DE PROVEEDORES'!$A:$B,2,0)</f>
        <v>FREUND S.A DE C.V.</v>
      </c>
      <c r="M108" s="25">
        <v>0</v>
      </c>
      <c r="N108" s="5" t="s">
        <v>2</v>
      </c>
      <c r="O108" s="5" t="s">
        <v>2</v>
      </c>
      <c r="P108" s="6">
        <v>67.040000000000006</v>
      </c>
      <c r="Q108" s="5" t="s">
        <v>2</v>
      </c>
      <c r="R108" s="18" t="s">
        <v>2</v>
      </c>
      <c r="S108" s="18" t="s">
        <v>2</v>
      </c>
      <c r="T108" s="12">
        <v>8.7200000000000006</v>
      </c>
      <c r="U108" s="13">
        <f t="shared" si="11"/>
        <v>75.760000000000005</v>
      </c>
      <c r="V108" s="19" t="s">
        <v>3</v>
      </c>
      <c r="X108" s="3">
        <f t="shared" si="7"/>
        <v>8.7200000000000006</v>
      </c>
    </row>
    <row r="109" spans="1:24" hidden="1" x14ac:dyDescent="0.25">
      <c r="A109" s="5" t="s">
        <v>25</v>
      </c>
      <c r="B109" s="18" t="s">
        <v>141</v>
      </c>
      <c r="C109" s="20" t="str">
        <f>+LEFT(B109,2)</f>
        <v>21</v>
      </c>
      <c r="D109" s="20" t="str">
        <f>+RIGHT(B109,2)</f>
        <v>04</v>
      </c>
      <c r="E109" s="19" t="s">
        <v>21</v>
      </c>
      <c r="F109" s="19" t="s">
        <v>22</v>
      </c>
      <c r="G109" s="4" t="str">
        <f t="shared" si="10"/>
        <v>21/04/2021</v>
      </c>
      <c r="H109" s="19" t="s">
        <v>1</v>
      </c>
      <c r="I109" s="19" t="s">
        <v>0</v>
      </c>
      <c r="J109" s="5" t="s">
        <v>236</v>
      </c>
      <c r="K109" s="5" t="s">
        <v>192</v>
      </c>
      <c r="L109" s="22" t="str">
        <f>+VLOOKUP(K109,'[1]BASE DE PROVEEDORES'!$A:$B,2,0)</f>
        <v>REPUESTOS NOE S.A DE C.V.</v>
      </c>
      <c r="M109" s="25">
        <v>0</v>
      </c>
      <c r="N109" s="5" t="s">
        <v>2</v>
      </c>
      <c r="O109" s="5" t="s">
        <v>2</v>
      </c>
      <c r="P109" s="6">
        <v>33</v>
      </c>
      <c r="Q109" s="5" t="s">
        <v>2</v>
      </c>
      <c r="R109" s="18" t="s">
        <v>2</v>
      </c>
      <c r="S109" s="18" t="s">
        <v>2</v>
      </c>
      <c r="T109" s="12">
        <v>4.29</v>
      </c>
      <c r="U109" s="13">
        <f t="shared" si="11"/>
        <v>37.29</v>
      </c>
      <c r="V109" s="19" t="s">
        <v>3</v>
      </c>
      <c r="X109" s="3">
        <f t="shared" si="7"/>
        <v>4.29</v>
      </c>
    </row>
    <row r="110" spans="1:24" hidden="1" x14ac:dyDescent="0.25">
      <c r="A110" s="5" t="s">
        <v>25</v>
      </c>
      <c r="C110" s="19" t="s">
        <v>46</v>
      </c>
      <c r="D110" s="20" t="s">
        <v>28</v>
      </c>
      <c r="E110" s="19" t="s">
        <v>21</v>
      </c>
      <c r="F110" s="19" t="s">
        <v>22</v>
      </c>
      <c r="G110" s="4" t="str">
        <f t="shared" si="10"/>
        <v>22/04/2021</v>
      </c>
      <c r="H110" s="19" t="s">
        <v>1</v>
      </c>
      <c r="I110" s="19" t="s">
        <v>0</v>
      </c>
      <c r="J110" s="5" t="s">
        <v>47</v>
      </c>
      <c r="K110" s="5" t="s">
        <v>42</v>
      </c>
      <c r="L110" s="22" t="str">
        <f>+VLOOKUP(K110,'[1]BASE DE PROVEEDORES'!$A:$B,2,0)</f>
        <v>ECSA OPERADORA EL SALVADOR S.A DE C.V.</v>
      </c>
      <c r="M110" s="25">
        <v>2.4700000000000002</v>
      </c>
      <c r="N110" s="5" t="s">
        <v>2</v>
      </c>
      <c r="O110" s="5" t="s">
        <v>2</v>
      </c>
      <c r="P110" s="6">
        <v>22.24</v>
      </c>
      <c r="Q110" s="5" t="s">
        <v>2</v>
      </c>
      <c r="R110" s="18" t="s">
        <v>2</v>
      </c>
      <c r="S110" s="18" t="s">
        <v>2</v>
      </c>
      <c r="T110" s="12">
        <v>2.89</v>
      </c>
      <c r="U110" s="13">
        <f t="shared" si="11"/>
        <v>27.599999999999998</v>
      </c>
      <c r="V110" s="19" t="s">
        <v>3</v>
      </c>
      <c r="X110" s="3">
        <f t="shared" si="7"/>
        <v>2.89</v>
      </c>
    </row>
    <row r="111" spans="1:24" hidden="1" x14ac:dyDescent="0.25">
      <c r="A111" s="5" t="s">
        <v>25</v>
      </c>
      <c r="B111" s="18" t="s">
        <v>237</v>
      </c>
      <c r="C111" s="20" t="str">
        <f>+LEFT(B111,2)</f>
        <v>22</v>
      </c>
      <c r="D111" s="20" t="str">
        <f>+RIGHT(B111,2)</f>
        <v>04</v>
      </c>
      <c r="E111" s="19" t="s">
        <v>21</v>
      </c>
      <c r="F111" s="19" t="s">
        <v>22</v>
      </c>
      <c r="G111" s="4" t="str">
        <f t="shared" si="10"/>
        <v>22/04/2021</v>
      </c>
      <c r="H111" s="19" t="s">
        <v>1</v>
      </c>
      <c r="I111" s="19" t="s">
        <v>0</v>
      </c>
      <c r="J111" s="5" t="s">
        <v>238</v>
      </c>
      <c r="K111" s="5" t="s">
        <v>164</v>
      </c>
      <c r="L111" s="22" t="str">
        <f>+VLOOKUP(K111,'[1]BASE DE PROVEEDORES'!$A:$B,2,0)</f>
        <v>TRANPORTES PESADOS S.A DE C.V.</v>
      </c>
      <c r="M111" s="25">
        <v>0</v>
      </c>
      <c r="N111" s="5" t="s">
        <v>2</v>
      </c>
      <c r="O111" s="5" t="s">
        <v>2</v>
      </c>
      <c r="P111" s="6">
        <v>47.91</v>
      </c>
      <c r="Q111" s="5" t="s">
        <v>2</v>
      </c>
      <c r="R111" s="18" t="s">
        <v>2</v>
      </c>
      <c r="S111" s="18" t="s">
        <v>2</v>
      </c>
      <c r="T111" s="12">
        <v>6.23</v>
      </c>
      <c r="U111" s="13">
        <f t="shared" si="11"/>
        <v>54.14</v>
      </c>
      <c r="V111" s="19" t="s">
        <v>3</v>
      </c>
      <c r="X111" s="3">
        <f t="shared" si="7"/>
        <v>6.23</v>
      </c>
    </row>
    <row r="112" spans="1:24" hidden="1" x14ac:dyDescent="0.25">
      <c r="A112" s="5" t="s">
        <v>25</v>
      </c>
      <c r="C112" s="19" t="s">
        <v>48</v>
      </c>
      <c r="D112" s="20" t="s">
        <v>28</v>
      </c>
      <c r="E112" s="19" t="s">
        <v>21</v>
      </c>
      <c r="F112" s="19" t="s">
        <v>22</v>
      </c>
      <c r="G112" s="4" t="str">
        <f t="shared" si="10"/>
        <v>23/04/2021</v>
      </c>
      <c r="H112" s="19" t="s">
        <v>1</v>
      </c>
      <c r="I112" s="19" t="s">
        <v>0</v>
      </c>
      <c r="J112" s="5" t="s">
        <v>49</v>
      </c>
      <c r="K112" s="5" t="s">
        <v>42</v>
      </c>
      <c r="L112" s="22" t="str">
        <f>+VLOOKUP(K112,'[1]BASE DE PROVEEDORES'!$A:$B,2,0)</f>
        <v>ECSA OPERADORA EL SALVADOR S.A DE C.V.</v>
      </c>
      <c r="M112" s="25">
        <v>6.3</v>
      </c>
      <c r="N112" s="5" t="s">
        <v>2</v>
      </c>
      <c r="O112" s="5" t="s">
        <v>2</v>
      </c>
      <c r="P112" s="6">
        <v>46.47</v>
      </c>
      <c r="Q112" s="5" t="s">
        <v>2</v>
      </c>
      <c r="R112" s="18" t="s">
        <v>2</v>
      </c>
      <c r="S112" s="18" t="s">
        <v>2</v>
      </c>
      <c r="T112" s="12">
        <v>6.04</v>
      </c>
      <c r="U112" s="13">
        <f t="shared" si="11"/>
        <v>58.809999999999995</v>
      </c>
      <c r="V112" s="19" t="s">
        <v>3</v>
      </c>
      <c r="X112" s="3">
        <f t="shared" si="7"/>
        <v>6.04</v>
      </c>
    </row>
    <row r="113" spans="1:24" hidden="1" x14ac:dyDescent="0.25">
      <c r="A113" s="5" t="s">
        <v>25</v>
      </c>
      <c r="B113" s="18" t="s">
        <v>150</v>
      </c>
      <c r="C113" s="20" t="str">
        <f>+LEFT(B113,2)</f>
        <v>26</v>
      </c>
      <c r="D113" s="20" t="str">
        <f>+RIGHT(B113,2)</f>
        <v>04</v>
      </c>
      <c r="E113" s="19" t="s">
        <v>21</v>
      </c>
      <c r="F113" s="19" t="s">
        <v>22</v>
      </c>
      <c r="G113" s="4" t="str">
        <f t="shared" si="10"/>
        <v>26/04/2021</v>
      </c>
      <c r="H113" s="19" t="s">
        <v>1</v>
      </c>
      <c r="I113" s="19" t="s">
        <v>0</v>
      </c>
      <c r="J113" s="5" t="s">
        <v>151</v>
      </c>
      <c r="K113" s="5" t="s">
        <v>152</v>
      </c>
      <c r="L113" s="22" t="str">
        <f>+VLOOKUP(K113,'[1]BASE DE PROVEEDORES'!$A:$B,2,0)</f>
        <v>ASETCA</v>
      </c>
      <c r="M113" s="25">
        <v>0</v>
      </c>
      <c r="N113" s="5" t="s">
        <v>2</v>
      </c>
      <c r="O113" s="5" t="s">
        <v>2</v>
      </c>
      <c r="P113" s="6">
        <v>31.86</v>
      </c>
      <c r="Q113" s="5" t="s">
        <v>2</v>
      </c>
      <c r="R113" s="18" t="s">
        <v>2</v>
      </c>
      <c r="S113" s="18" t="s">
        <v>2</v>
      </c>
      <c r="T113" s="12">
        <v>4.1399999999999997</v>
      </c>
      <c r="U113" s="13">
        <f t="shared" si="11"/>
        <v>36</v>
      </c>
      <c r="V113" s="19" t="s">
        <v>3</v>
      </c>
      <c r="X113" s="3">
        <f t="shared" si="7"/>
        <v>4.1399999999999997</v>
      </c>
    </row>
    <row r="114" spans="1:24" hidden="1" x14ac:dyDescent="0.25">
      <c r="A114" s="5" t="s">
        <v>25</v>
      </c>
      <c r="B114" s="18" t="s">
        <v>150</v>
      </c>
      <c r="C114" s="20" t="str">
        <f>+LEFT(B114,2)</f>
        <v>26</v>
      </c>
      <c r="D114" s="20" t="str">
        <f>+RIGHT(B114,2)</f>
        <v>04</v>
      </c>
      <c r="E114" s="19" t="s">
        <v>21</v>
      </c>
      <c r="F114" s="19" t="s">
        <v>22</v>
      </c>
      <c r="G114" s="4" t="str">
        <f t="shared" si="10"/>
        <v>26/04/2021</v>
      </c>
      <c r="H114" s="19" t="s">
        <v>1</v>
      </c>
      <c r="I114" s="19" t="s">
        <v>0</v>
      </c>
      <c r="J114" s="5" t="s">
        <v>158</v>
      </c>
      <c r="K114" s="5" t="s">
        <v>159</v>
      </c>
      <c r="L114" s="22" t="str">
        <f>+VLOOKUP(K114,'[1]BASE DE PROVEEDORES'!$A:$B,2,0)</f>
        <v xml:space="preserve">SUPER REPUESTOS EL SALVADOR </v>
      </c>
      <c r="M114" s="25">
        <v>0</v>
      </c>
      <c r="N114" s="5" t="s">
        <v>2</v>
      </c>
      <c r="O114" s="5" t="s">
        <v>2</v>
      </c>
      <c r="P114" s="6">
        <v>33.6</v>
      </c>
      <c r="Q114" s="5" t="s">
        <v>2</v>
      </c>
      <c r="R114" s="18" t="s">
        <v>2</v>
      </c>
      <c r="S114" s="18" t="s">
        <v>2</v>
      </c>
      <c r="T114" s="12">
        <v>4.37</v>
      </c>
      <c r="U114" s="13">
        <f t="shared" si="11"/>
        <v>37.97</v>
      </c>
      <c r="V114" s="19" t="s">
        <v>3</v>
      </c>
      <c r="X114" s="3">
        <f t="shared" si="7"/>
        <v>4.37</v>
      </c>
    </row>
    <row r="115" spans="1:24" hidden="1" x14ac:dyDescent="0.25">
      <c r="A115" s="5" t="s">
        <v>25</v>
      </c>
      <c r="C115" s="19" t="s">
        <v>50</v>
      </c>
      <c r="D115" s="20" t="s">
        <v>28</v>
      </c>
      <c r="E115" s="19" t="s">
        <v>21</v>
      </c>
      <c r="F115" s="19" t="s">
        <v>22</v>
      </c>
      <c r="G115" s="4" t="str">
        <f t="shared" si="10"/>
        <v>28/04/2021</v>
      </c>
      <c r="H115" s="19" t="s">
        <v>1</v>
      </c>
      <c r="I115" s="19" t="s">
        <v>0</v>
      </c>
      <c r="J115" s="5" t="s">
        <v>51</v>
      </c>
      <c r="K115" s="5" t="s">
        <v>42</v>
      </c>
      <c r="L115" s="22" t="str">
        <f>+VLOOKUP(K115,'[1]BASE DE PROVEEDORES'!$A:$B,2,0)</f>
        <v>ECSA OPERADORA EL SALVADOR S.A DE C.V.</v>
      </c>
      <c r="M115" s="25">
        <v>2.2400000000000002</v>
      </c>
      <c r="N115" s="5" t="s">
        <v>2</v>
      </c>
      <c r="O115" s="5" t="s">
        <v>2</v>
      </c>
      <c r="P115" s="6">
        <v>21.42</v>
      </c>
      <c r="Q115" s="5" t="s">
        <v>2</v>
      </c>
      <c r="R115" s="18" t="s">
        <v>2</v>
      </c>
      <c r="S115" s="18" t="s">
        <v>2</v>
      </c>
      <c r="T115" s="12">
        <v>2.78</v>
      </c>
      <c r="U115" s="13">
        <f t="shared" si="11"/>
        <v>26.440000000000005</v>
      </c>
      <c r="V115" s="19" t="s">
        <v>3</v>
      </c>
      <c r="X115" s="3">
        <f t="shared" si="7"/>
        <v>2.78</v>
      </c>
    </row>
    <row r="116" spans="1:24" hidden="1" x14ac:dyDescent="0.25">
      <c r="A116" s="5" t="s">
        <v>25</v>
      </c>
      <c r="B116" s="18" t="s">
        <v>137</v>
      </c>
      <c r="C116" s="20" t="str">
        <f t="shared" ref="C116:C130" si="12">+LEFT(B116,2)</f>
        <v>28</v>
      </c>
      <c r="D116" s="20" t="str">
        <f t="shared" ref="D116:D130" si="13">+RIGHT(B116,2)</f>
        <v>04</v>
      </c>
      <c r="E116" s="19" t="s">
        <v>21</v>
      </c>
      <c r="F116" s="19" t="s">
        <v>22</v>
      </c>
      <c r="G116" s="4" t="str">
        <f t="shared" si="10"/>
        <v>28/04/2021</v>
      </c>
      <c r="H116" s="19" t="s">
        <v>1</v>
      </c>
      <c r="I116" s="19" t="s">
        <v>0</v>
      </c>
      <c r="J116" s="5" t="s">
        <v>138</v>
      </c>
      <c r="K116" s="5" t="s">
        <v>55</v>
      </c>
      <c r="L116" s="22" t="str">
        <f>+VLOOKUP(K116,'[1]BASE DE PROVEEDORES'!$A:$B,2,0)</f>
        <v xml:space="preserve">DISTRIBUIDORA DE LUBRICANTES Y COMBUSTIBLES S.A DE C.V </v>
      </c>
      <c r="M116" s="25">
        <f>3.78+1.89</f>
        <v>5.67</v>
      </c>
      <c r="N116" s="5" t="s">
        <v>2</v>
      </c>
      <c r="O116" s="5" t="s">
        <v>2</v>
      </c>
      <c r="P116" s="6">
        <v>41.35</v>
      </c>
      <c r="Q116" s="5" t="s">
        <v>2</v>
      </c>
      <c r="R116" s="18" t="s">
        <v>2</v>
      </c>
      <c r="S116" s="18" t="s">
        <v>2</v>
      </c>
      <c r="T116" s="12">
        <v>5.38</v>
      </c>
      <c r="U116" s="13">
        <f t="shared" si="11"/>
        <v>52.400000000000006</v>
      </c>
      <c r="V116" s="19" t="s">
        <v>3</v>
      </c>
      <c r="X116" s="3">
        <f t="shared" si="7"/>
        <v>5.38</v>
      </c>
    </row>
    <row r="117" spans="1:24" hidden="1" x14ac:dyDescent="0.25">
      <c r="A117" s="5" t="s">
        <v>25</v>
      </c>
      <c r="B117" s="18" t="s">
        <v>137</v>
      </c>
      <c r="C117" s="20" t="str">
        <f t="shared" si="12"/>
        <v>28</v>
      </c>
      <c r="D117" s="20" t="str">
        <f t="shared" si="13"/>
        <v>04</v>
      </c>
      <c r="E117" s="19" t="s">
        <v>21</v>
      </c>
      <c r="F117" s="19" t="s">
        <v>22</v>
      </c>
      <c r="G117" s="4" t="str">
        <f t="shared" si="10"/>
        <v>28/04/2021</v>
      </c>
      <c r="H117" s="19" t="s">
        <v>1</v>
      </c>
      <c r="I117" s="19" t="s">
        <v>0</v>
      </c>
      <c r="J117" s="5" t="s">
        <v>139</v>
      </c>
      <c r="K117" s="5" t="s">
        <v>55</v>
      </c>
      <c r="L117" s="22" t="str">
        <f>+VLOOKUP(K117,'[1]BASE DE PROVEEDORES'!$A:$B,2,0)</f>
        <v xml:space="preserve">DISTRIBUIDORA DE LUBRICANTES Y COMBUSTIBLES S.A DE C.V </v>
      </c>
      <c r="M117" s="25">
        <f>2.66+1.33</f>
        <v>3.99</v>
      </c>
      <c r="N117" s="5" t="s">
        <v>2</v>
      </c>
      <c r="O117" s="5" t="s">
        <v>2</v>
      </c>
      <c r="P117" s="6">
        <v>33.04</v>
      </c>
      <c r="Q117" s="5" t="s">
        <v>2</v>
      </c>
      <c r="R117" s="18" t="s">
        <v>2</v>
      </c>
      <c r="S117" s="18" t="s">
        <v>2</v>
      </c>
      <c r="T117" s="12">
        <v>4.3</v>
      </c>
      <c r="U117" s="13">
        <f t="shared" si="11"/>
        <v>41.33</v>
      </c>
      <c r="V117" s="19" t="s">
        <v>3</v>
      </c>
      <c r="X117" s="3">
        <f t="shared" si="7"/>
        <v>4.3</v>
      </c>
    </row>
    <row r="118" spans="1:24" hidden="1" x14ac:dyDescent="0.25">
      <c r="A118" s="5" t="s">
        <v>25</v>
      </c>
      <c r="B118" s="18" t="s">
        <v>137</v>
      </c>
      <c r="C118" s="20" t="str">
        <f t="shared" si="12"/>
        <v>28</v>
      </c>
      <c r="D118" s="20" t="str">
        <f t="shared" si="13"/>
        <v>04</v>
      </c>
      <c r="E118" s="19" t="s">
        <v>21</v>
      </c>
      <c r="F118" s="19" t="s">
        <v>22</v>
      </c>
      <c r="G118" s="4" t="str">
        <f t="shared" si="10"/>
        <v>28/04/2021</v>
      </c>
      <c r="H118" s="19" t="s">
        <v>1</v>
      </c>
      <c r="I118" s="19" t="s">
        <v>0</v>
      </c>
      <c r="J118" s="5" t="s">
        <v>223</v>
      </c>
      <c r="K118" s="5" t="s">
        <v>192</v>
      </c>
      <c r="L118" s="22" t="str">
        <f>+VLOOKUP(K118,'[1]BASE DE PROVEEDORES'!$A:$B,2,0)</f>
        <v>REPUESTOS NOE S.A DE C.V.</v>
      </c>
      <c r="M118" s="25">
        <v>0</v>
      </c>
      <c r="N118" s="5" t="s">
        <v>2</v>
      </c>
      <c r="O118" s="5" t="s">
        <v>2</v>
      </c>
      <c r="P118" s="6">
        <v>40</v>
      </c>
      <c r="Q118" s="5" t="s">
        <v>2</v>
      </c>
      <c r="R118" s="18" t="s">
        <v>2</v>
      </c>
      <c r="S118" s="18" t="s">
        <v>2</v>
      </c>
      <c r="T118" s="12">
        <v>5.2</v>
      </c>
      <c r="U118" s="13">
        <f t="shared" si="11"/>
        <v>45.2</v>
      </c>
      <c r="V118" s="19" t="s">
        <v>3</v>
      </c>
      <c r="X118" s="3">
        <f t="shared" si="7"/>
        <v>5.2</v>
      </c>
    </row>
    <row r="119" spans="1:24" hidden="1" x14ac:dyDescent="0.25">
      <c r="A119" s="5" t="s">
        <v>25</v>
      </c>
      <c r="B119" s="18" t="s">
        <v>137</v>
      </c>
      <c r="C119" s="20" t="str">
        <f t="shared" si="12"/>
        <v>28</v>
      </c>
      <c r="D119" s="20" t="str">
        <f t="shared" si="13"/>
        <v>04</v>
      </c>
      <c r="E119" s="19" t="s">
        <v>21</v>
      </c>
      <c r="F119" s="19" t="s">
        <v>22</v>
      </c>
      <c r="G119" s="4" t="str">
        <f t="shared" si="10"/>
        <v>28/04/2021</v>
      </c>
      <c r="H119" s="19" t="s">
        <v>1</v>
      </c>
      <c r="I119" s="19" t="s">
        <v>0</v>
      </c>
      <c r="J119" s="5" t="s">
        <v>224</v>
      </c>
      <c r="K119" s="5" t="s">
        <v>225</v>
      </c>
      <c r="L119" s="22" t="str">
        <f>+VLOOKUP(K119,'[1]BASE DE PROVEEDORES'!$A:$B,2,0)</f>
        <v>CLUTCH EXPRESS S.A DE C.V.</v>
      </c>
      <c r="M119" s="25">
        <v>0</v>
      </c>
      <c r="N119" s="5" t="s">
        <v>2</v>
      </c>
      <c r="O119" s="5" t="s">
        <v>2</v>
      </c>
      <c r="P119" s="6">
        <v>398.23</v>
      </c>
      <c r="Q119" s="5" t="s">
        <v>2</v>
      </c>
      <c r="R119" s="18" t="s">
        <v>2</v>
      </c>
      <c r="S119" s="18" t="s">
        <v>2</v>
      </c>
      <c r="T119" s="12">
        <v>51.77</v>
      </c>
      <c r="U119" s="13">
        <f t="shared" si="11"/>
        <v>450</v>
      </c>
      <c r="V119" s="19" t="s">
        <v>3</v>
      </c>
      <c r="X119" s="3">
        <f t="shared" si="7"/>
        <v>51.77</v>
      </c>
    </row>
    <row r="120" spans="1:24" hidden="1" x14ac:dyDescent="0.25">
      <c r="A120" s="5" t="s">
        <v>25</v>
      </c>
      <c r="B120" s="18" t="s">
        <v>137</v>
      </c>
      <c r="C120" s="20" t="str">
        <f t="shared" si="12"/>
        <v>28</v>
      </c>
      <c r="D120" s="20" t="str">
        <f t="shared" si="13"/>
        <v>04</v>
      </c>
      <c r="E120" s="19" t="s">
        <v>21</v>
      </c>
      <c r="F120" s="19" t="s">
        <v>22</v>
      </c>
      <c r="G120" s="4" t="str">
        <f t="shared" si="10"/>
        <v>28/04/2021</v>
      </c>
      <c r="H120" s="19" t="s">
        <v>1</v>
      </c>
      <c r="I120" s="19" t="s">
        <v>0</v>
      </c>
      <c r="J120" s="5" t="s">
        <v>227</v>
      </c>
      <c r="K120" s="5" t="s">
        <v>228</v>
      </c>
      <c r="L120" s="22" t="str">
        <f>+VLOOKUP(K120,'[1]BASE DE PROVEEDORES'!$A:$B,2,0)</f>
        <v>SO S.A DE C.V.</v>
      </c>
      <c r="M120" s="25">
        <v>0</v>
      </c>
      <c r="N120" s="5" t="s">
        <v>2</v>
      </c>
      <c r="O120" s="5" t="s">
        <v>2</v>
      </c>
      <c r="P120" s="6">
        <v>22.78</v>
      </c>
      <c r="Q120" s="5" t="s">
        <v>2</v>
      </c>
      <c r="R120" s="18" t="s">
        <v>2</v>
      </c>
      <c r="S120" s="18" t="s">
        <v>2</v>
      </c>
      <c r="T120" s="12">
        <v>2.96</v>
      </c>
      <c r="U120" s="13">
        <f t="shared" si="11"/>
        <v>25.740000000000002</v>
      </c>
      <c r="V120" s="19" t="s">
        <v>3</v>
      </c>
      <c r="X120" s="3">
        <f t="shared" si="7"/>
        <v>2.96</v>
      </c>
    </row>
    <row r="121" spans="1:24" hidden="1" x14ac:dyDescent="0.25">
      <c r="A121" s="5" t="s">
        <v>25</v>
      </c>
      <c r="B121" s="18" t="s">
        <v>137</v>
      </c>
      <c r="C121" s="20" t="str">
        <f t="shared" si="12"/>
        <v>28</v>
      </c>
      <c r="D121" s="20" t="str">
        <f t="shared" si="13"/>
        <v>04</v>
      </c>
      <c r="E121" s="19" t="s">
        <v>21</v>
      </c>
      <c r="F121" s="19" t="s">
        <v>22</v>
      </c>
      <c r="G121" s="4" t="str">
        <f t="shared" si="10"/>
        <v>28/04/2021</v>
      </c>
      <c r="H121" s="19" t="s">
        <v>1</v>
      </c>
      <c r="I121" s="19" t="s">
        <v>0</v>
      </c>
      <c r="J121" s="5" t="s">
        <v>230</v>
      </c>
      <c r="K121" s="5" t="s">
        <v>222</v>
      </c>
      <c r="L121" s="22" t="str">
        <f>+VLOOKUP(K121,'[1]BASE DE PROVEEDORES'!$A:$B,2,0)</f>
        <v>JOSE MARIA SALINAS DERAS</v>
      </c>
      <c r="M121" s="25">
        <v>0</v>
      </c>
      <c r="N121" s="5" t="s">
        <v>2</v>
      </c>
      <c r="O121" s="5" t="s">
        <v>2</v>
      </c>
      <c r="P121" s="6">
        <v>485.42</v>
      </c>
      <c r="Q121" s="5" t="s">
        <v>2</v>
      </c>
      <c r="R121" s="18" t="s">
        <v>2</v>
      </c>
      <c r="S121" s="18" t="s">
        <v>2</v>
      </c>
      <c r="T121" s="12">
        <v>63.1</v>
      </c>
      <c r="U121" s="13">
        <f t="shared" si="11"/>
        <v>548.52</v>
      </c>
      <c r="V121" s="19" t="s">
        <v>3</v>
      </c>
      <c r="X121" s="3">
        <f t="shared" si="7"/>
        <v>63.1</v>
      </c>
    </row>
    <row r="122" spans="1:24" hidden="1" x14ac:dyDescent="0.25">
      <c r="A122" s="5" t="s">
        <v>25</v>
      </c>
      <c r="B122" s="18" t="s">
        <v>137</v>
      </c>
      <c r="C122" s="20" t="str">
        <f t="shared" si="12"/>
        <v>28</v>
      </c>
      <c r="D122" s="20" t="str">
        <f t="shared" si="13"/>
        <v>04</v>
      </c>
      <c r="E122" s="19" t="s">
        <v>21</v>
      </c>
      <c r="F122" s="19" t="s">
        <v>22</v>
      </c>
      <c r="G122" s="4" t="str">
        <f t="shared" si="10"/>
        <v>28/04/2021</v>
      </c>
      <c r="H122" s="19" t="s">
        <v>1</v>
      </c>
      <c r="I122" s="19" t="s">
        <v>0</v>
      </c>
      <c r="J122" s="5" t="s">
        <v>232</v>
      </c>
      <c r="K122" s="5" t="s">
        <v>222</v>
      </c>
      <c r="L122" s="22" t="str">
        <f>+VLOOKUP(K122,'[1]BASE DE PROVEEDORES'!$A:$B,2,0)</f>
        <v>JOSE MARIA SALINAS DERAS</v>
      </c>
      <c r="M122" s="25">
        <v>0</v>
      </c>
      <c r="N122" s="5" t="s">
        <v>2</v>
      </c>
      <c r="O122" s="5" t="s">
        <v>2</v>
      </c>
      <c r="P122" s="6">
        <v>1947.08</v>
      </c>
      <c r="Q122" s="5" t="s">
        <v>2</v>
      </c>
      <c r="R122" s="18" t="s">
        <v>2</v>
      </c>
      <c r="S122" s="18" t="s">
        <v>2</v>
      </c>
      <c r="T122" s="12">
        <v>253.12</v>
      </c>
      <c r="U122" s="13">
        <f t="shared" si="11"/>
        <v>2200.1999999999998</v>
      </c>
      <c r="V122" s="19" t="s">
        <v>3</v>
      </c>
      <c r="X122" s="3">
        <f t="shared" si="7"/>
        <v>253.12</v>
      </c>
    </row>
    <row r="123" spans="1:24" hidden="1" x14ac:dyDescent="0.25">
      <c r="A123" s="5" t="s">
        <v>25</v>
      </c>
      <c r="B123" s="18" t="s">
        <v>137</v>
      </c>
      <c r="C123" s="20" t="str">
        <f t="shared" si="12"/>
        <v>28</v>
      </c>
      <c r="D123" s="20" t="str">
        <f t="shared" si="13"/>
        <v>04</v>
      </c>
      <c r="E123" s="19" t="s">
        <v>21</v>
      </c>
      <c r="F123" s="19" t="s">
        <v>22</v>
      </c>
      <c r="G123" s="4" t="str">
        <f t="shared" si="10"/>
        <v>28/04/2021</v>
      </c>
      <c r="H123" s="19" t="s">
        <v>1</v>
      </c>
      <c r="I123" s="19" t="s">
        <v>0</v>
      </c>
      <c r="J123" s="5" t="s">
        <v>234</v>
      </c>
      <c r="K123" s="5" t="s">
        <v>235</v>
      </c>
      <c r="L123" s="22" t="str">
        <f>+VLOOKUP(K123,'[1]BASE DE PROVEEDORES'!$A:$B,2,0)</f>
        <v>MAURICIO NAPOLEON S.A DE C.V.</v>
      </c>
      <c r="M123" s="25">
        <v>0</v>
      </c>
      <c r="N123" s="5" t="s">
        <v>2</v>
      </c>
      <c r="O123" s="5" t="s">
        <v>2</v>
      </c>
      <c r="P123" s="6">
        <v>58.08</v>
      </c>
      <c r="Q123" s="5" t="s">
        <v>2</v>
      </c>
      <c r="R123" s="18" t="s">
        <v>2</v>
      </c>
      <c r="S123" s="18" t="s">
        <v>2</v>
      </c>
      <c r="T123" s="12">
        <v>7.55</v>
      </c>
      <c r="U123" s="13">
        <f t="shared" si="11"/>
        <v>65.63</v>
      </c>
      <c r="V123" s="19" t="s">
        <v>3</v>
      </c>
      <c r="X123" s="3">
        <f t="shared" si="7"/>
        <v>7.55</v>
      </c>
    </row>
    <row r="124" spans="1:24" hidden="1" x14ac:dyDescent="0.25">
      <c r="A124" s="5" t="s">
        <v>25</v>
      </c>
      <c r="B124" s="18" t="s">
        <v>173</v>
      </c>
      <c r="C124" s="20" t="str">
        <f t="shared" si="12"/>
        <v>29</v>
      </c>
      <c r="D124" s="20" t="str">
        <f t="shared" si="13"/>
        <v>04</v>
      </c>
      <c r="E124" s="19" t="s">
        <v>21</v>
      </c>
      <c r="F124" s="19" t="s">
        <v>22</v>
      </c>
      <c r="G124" s="4" t="str">
        <f t="shared" si="10"/>
        <v>29/04/2021</v>
      </c>
      <c r="H124" s="19" t="s">
        <v>1</v>
      </c>
      <c r="I124" s="19" t="s">
        <v>0</v>
      </c>
      <c r="J124" s="5" t="s">
        <v>174</v>
      </c>
      <c r="K124" s="5" t="s">
        <v>175</v>
      </c>
      <c r="L124" s="22" t="str">
        <f>+VLOOKUP(K124,'[1]BASE DE PROVEEDORES'!$A:$B,2,0)</f>
        <v>REPUESTOS ALSAN S.A DE C.V.</v>
      </c>
      <c r="M124" s="25">
        <v>0</v>
      </c>
      <c r="N124" s="5" t="s">
        <v>2</v>
      </c>
      <c r="O124" s="5" t="s">
        <v>2</v>
      </c>
      <c r="P124" s="6">
        <v>176.99</v>
      </c>
      <c r="Q124" s="5" t="s">
        <v>2</v>
      </c>
      <c r="R124" s="18" t="s">
        <v>2</v>
      </c>
      <c r="S124" s="18" t="s">
        <v>2</v>
      </c>
      <c r="T124" s="12">
        <v>23.01</v>
      </c>
      <c r="U124" s="13">
        <f t="shared" si="11"/>
        <v>200</v>
      </c>
      <c r="V124" s="19" t="s">
        <v>3</v>
      </c>
      <c r="X124" s="3">
        <f t="shared" si="7"/>
        <v>23.01</v>
      </c>
    </row>
    <row r="125" spans="1:24" hidden="1" x14ac:dyDescent="0.25">
      <c r="A125" s="5" t="s">
        <v>25</v>
      </c>
      <c r="B125" s="18" t="s">
        <v>173</v>
      </c>
      <c r="C125" s="20" t="str">
        <f t="shared" si="12"/>
        <v>29</v>
      </c>
      <c r="D125" s="20" t="str">
        <f t="shared" si="13"/>
        <v>04</v>
      </c>
      <c r="E125" s="19" t="s">
        <v>21</v>
      </c>
      <c r="F125" s="19" t="s">
        <v>22</v>
      </c>
      <c r="G125" s="4" t="str">
        <f t="shared" si="10"/>
        <v>29/04/2021</v>
      </c>
      <c r="H125" s="19" t="s">
        <v>1</v>
      </c>
      <c r="I125" s="19" t="s">
        <v>0</v>
      </c>
      <c r="J125" s="5" t="s">
        <v>178</v>
      </c>
      <c r="K125" s="5" t="s">
        <v>146</v>
      </c>
      <c r="L125" s="22" t="str">
        <f>+VLOOKUP(K125,'[1]BASE DE PROVEEDORES'!$A:$B,2,0)</f>
        <v>FREUND S.A DE C.V.</v>
      </c>
      <c r="M125" s="25">
        <v>0</v>
      </c>
      <c r="N125" s="5" t="s">
        <v>2</v>
      </c>
      <c r="O125" s="5" t="s">
        <v>2</v>
      </c>
      <c r="P125" s="6">
        <v>10.44</v>
      </c>
      <c r="Q125" s="5" t="s">
        <v>2</v>
      </c>
      <c r="R125" s="18" t="s">
        <v>2</v>
      </c>
      <c r="S125" s="18" t="s">
        <v>2</v>
      </c>
      <c r="T125" s="12">
        <v>1.36</v>
      </c>
      <c r="U125" s="13">
        <f t="shared" si="11"/>
        <v>11.799999999999999</v>
      </c>
      <c r="V125" s="19" t="s">
        <v>3</v>
      </c>
      <c r="X125" s="3">
        <f t="shared" si="7"/>
        <v>1.36</v>
      </c>
    </row>
    <row r="126" spans="1:24" hidden="1" x14ac:dyDescent="0.25">
      <c r="A126" s="5" t="s">
        <v>25</v>
      </c>
      <c r="B126" s="18" t="s">
        <v>173</v>
      </c>
      <c r="C126" s="20" t="str">
        <f t="shared" si="12"/>
        <v>29</v>
      </c>
      <c r="D126" s="20" t="str">
        <f t="shared" si="13"/>
        <v>04</v>
      </c>
      <c r="E126" s="19" t="s">
        <v>21</v>
      </c>
      <c r="F126" s="19" t="s">
        <v>22</v>
      </c>
      <c r="G126" s="4" t="str">
        <f t="shared" si="10"/>
        <v>29/04/2021</v>
      </c>
      <c r="H126" s="19" t="s">
        <v>1</v>
      </c>
      <c r="I126" s="19" t="s">
        <v>0</v>
      </c>
      <c r="J126" s="5" t="s">
        <v>226</v>
      </c>
      <c r="K126" s="5" t="s">
        <v>218</v>
      </c>
      <c r="L126" s="22" t="str">
        <f>+VLOOKUP(K126,'[1]BASE DE PROVEEDORES'!$A:$B,2,0)</f>
        <v>IMPRESSA S.A DE C.V.</v>
      </c>
      <c r="M126" s="25">
        <v>0</v>
      </c>
      <c r="N126" s="5" t="s">
        <v>2</v>
      </c>
      <c r="O126" s="5" t="s">
        <v>2</v>
      </c>
      <c r="P126" s="6">
        <v>50.5</v>
      </c>
      <c r="Q126" s="5" t="s">
        <v>2</v>
      </c>
      <c r="R126" s="18" t="s">
        <v>2</v>
      </c>
      <c r="S126" s="18" t="s">
        <v>2</v>
      </c>
      <c r="T126" s="12">
        <v>6.57</v>
      </c>
      <c r="U126" s="13">
        <f t="shared" si="11"/>
        <v>57.07</v>
      </c>
      <c r="V126" s="19" t="s">
        <v>3</v>
      </c>
      <c r="X126" s="3">
        <f t="shared" si="7"/>
        <v>6.57</v>
      </c>
    </row>
    <row r="127" spans="1:24" hidden="1" x14ac:dyDescent="0.25">
      <c r="A127" s="5" t="s">
        <v>25</v>
      </c>
      <c r="B127" s="18" t="s">
        <v>173</v>
      </c>
      <c r="C127" s="20" t="str">
        <f t="shared" si="12"/>
        <v>29</v>
      </c>
      <c r="D127" s="20" t="str">
        <f t="shared" si="13"/>
        <v>04</v>
      </c>
      <c r="E127" s="19" t="s">
        <v>21</v>
      </c>
      <c r="F127" s="19" t="s">
        <v>22</v>
      </c>
      <c r="G127" s="4" t="str">
        <f t="shared" si="10"/>
        <v>29/04/2021</v>
      </c>
      <c r="H127" s="19" t="s">
        <v>1</v>
      </c>
      <c r="I127" s="19" t="s">
        <v>0</v>
      </c>
      <c r="J127" s="5" t="s">
        <v>233</v>
      </c>
      <c r="K127" s="5" t="s">
        <v>222</v>
      </c>
      <c r="L127" s="22" t="str">
        <f>+VLOOKUP(K127,'[1]BASE DE PROVEEDORES'!$A:$B,2,0)</f>
        <v>JOSE MARIA SALINAS DERAS</v>
      </c>
      <c r="M127" s="25">
        <v>0</v>
      </c>
      <c r="N127" s="5" t="s">
        <v>2</v>
      </c>
      <c r="O127" s="5" t="s">
        <v>2</v>
      </c>
      <c r="P127" s="6">
        <v>28.43</v>
      </c>
      <c r="Q127" s="5" t="s">
        <v>2</v>
      </c>
      <c r="R127" s="18" t="s">
        <v>2</v>
      </c>
      <c r="S127" s="18" t="s">
        <v>2</v>
      </c>
      <c r="T127" s="12">
        <v>3.7</v>
      </c>
      <c r="U127" s="13">
        <f t="shared" si="11"/>
        <v>32.130000000000003</v>
      </c>
      <c r="V127" s="19" t="s">
        <v>3</v>
      </c>
      <c r="X127" s="3">
        <f t="shared" si="7"/>
        <v>3.7</v>
      </c>
    </row>
    <row r="128" spans="1:24" hidden="1" x14ac:dyDescent="0.25">
      <c r="A128" s="5" t="s">
        <v>25</v>
      </c>
      <c r="B128" s="18" t="s">
        <v>170</v>
      </c>
      <c r="C128" s="20" t="str">
        <f t="shared" si="12"/>
        <v>30</v>
      </c>
      <c r="D128" s="20" t="str">
        <f t="shared" si="13"/>
        <v>04</v>
      </c>
      <c r="E128" s="19" t="s">
        <v>21</v>
      </c>
      <c r="F128" s="19" t="s">
        <v>22</v>
      </c>
      <c r="G128" s="4" t="str">
        <f t="shared" si="10"/>
        <v>30/04/2021</v>
      </c>
      <c r="H128" s="19" t="s">
        <v>1</v>
      </c>
      <c r="I128" s="19" t="s">
        <v>0</v>
      </c>
      <c r="J128" s="5" t="s">
        <v>171</v>
      </c>
      <c r="K128" s="5" t="s">
        <v>172</v>
      </c>
      <c r="L128" s="22" t="str">
        <f>+VLOOKUP(K128,'[1]BASE DE PROVEEDORES'!$A:$B,2,0)</f>
        <v>MUNFRE S.A DE C.V.</v>
      </c>
      <c r="M128" s="25">
        <v>0</v>
      </c>
      <c r="N128" s="5" t="s">
        <v>2</v>
      </c>
      <c r="O128" s="5" t="s">
        <v>2</v>
      </c>
      <c r="P128" s="6">
        <v>59.97</v>
      </c>
      <c r="Q128" s="5" t="s">
        <v>2</v>
      </c>
      <c r="R128" s="18" t="s">
        <v>2</v>
      </c>
      <c r="S128" s="18" t="s">
        <v>2</v>
      </c>
      <c r="T128" s="12">
        <v>7.8</v>
      </c>
      <c r="U128" s="13">
        <f t="shared" si="11"/>
        <v>67.77</v>
      </c>
      <c r="V128" s="19" t="s">
        <v>3</v>
      </c>
      <c r="X128" s="3">
        <f t="shared" si="7"/>
        <v>7.8</v>
      </c>
    </row>
    <row r="129" spans="1:24" hidden="1" x14ac:dyDescent="0.25">
      <c r="A129" s="5" t="s">
        <v>25</v>
      </c>
      <c r="B129" s="18" t="s">
        <v>170</v>
      </c>
      <c r="C129" s="20" t="str">
        <f t="shared" si="12"/>
        <v>30</v>
      </c>
      <c r="D129" s="20" t="str">
        <f t="shared" si="13"/>
        <v>04</v>
      </c>
      <c r="E129" s="19" t="s">
        <v>21</v>
      </c>
      <c r="F129" s="19" t="s">
        <v>22</v>
      </c>
      <c r="G129" s="4" t="str">
        <f t="shared" si="10"/>
        <v>30/04/2021</v>
      </c>
      <c r="H129" s="19" t="s">
        <v>1</v>
      </c>
      <c r="I129" s="19" t="s">
        <v>0</v>
      </c>
      <c r="J129" s="5" t="s">
        <v>231</v>
      </c>
      <c r="K129" s="5" t="s">
        <v>222</v>
      </c>
      <c r="L129" s="22" t="str">
        <f>+VLOOKUP(K129,'[1]BASE DE PROVEEDORES'!$A:$B,2,0)</f>
        <v>JOSE MARIA SALINAS DERAS</v>
      </c>
      <c r="M129" s="25">
        <v>0</v>
      </c>
      <c r="N129" s="5" t="s">
        <v>2</v>
      </c>
      <c r="O129" s="5" t="s">
        <v>2</v>
      </c>
      <c r="P129" s="6">
        <v>94.87</v>
      </c>
      <c r="Q129" s="5" t="s">
        <v>2</v>
      </c>
      <c r="R129" s="18" t="s">
        <v>2</v>
      </c>
      <c r="S129" s="18" t="s">
        <v>2</v>
      </c>
      <c r="T129" s="12">
        <v>12.33</v>
      </c>
      <c r="U129" s="13">
        <f t="shared" si="11"/>
        <v>107.2</v>
      </c>
      <c r="V129" s="19" t="s">
        <v>3</v>
      </c>
      <c r="X129" s="3">
        <f t="shared" si="7"/>
        <v>12.33</v>
      </c>
    </row>
    <row r="130" spans="1:24" hidden="1" x14ac:dyDescent="0.25">
      <c r="A130" s="5" t="s">
        <v>25</v>
      </c>
      <c r="B130" s="18" t="s">
        <v>170</v>
      </c>
      <c r="C130" s="20" t="str">
        <f t="shared" si="12"/>
        <v>30</v>
      </c>
      <c r="D130" s="20" t="str">
        <f t="shared" si="13"/>
        <v>04</v>
      </c>
      <c r="E130" s="19" t="s">
        <v>21</v>
      </c>
      <c r="F130" s="19" t="s">
        <v>22</v>
      </c>
      <c r="G130" s="4" t="str">
        <f t="shared" ref="G130" si="14">+C130&amp;F130&amp;D130&amp;F130&amp;E130</f>
        <v>30/04/2021</v>
      </c>
      <c r="H130" s="19" t="s">
        <v>1</v>
      </c>
      <c r="I130" s="19" t="s">
        <v>0</v>
      </c>
      <c r="J130" s="5" t="s">
        <v>239</v>
      </c>
      <c r="K130" s="5" t="s">
        <v>146</v>
      </c>
      <c r="L130" s="22" t="str">
        <f>+VLOOKUP(K130,'[1]BASE DE PROVEEDORES'!$A:$B,2,0)</f>
        <v>FREUND S.A DE C.V.</v>
      </c>
      <c r="M130" s="25">
        <v>0</v>
      </c>
      <c r="N130" s="5" t="s">
        <v>2</v>
      </c>
      <c r="O130" s="5" t="s">
        <v>2</v>
      </c>
      <c r="P130" s="6">
        <v>4.42</v>
      </c>
      <c r="Q130" s="5" t="s">
        <v>2</v>
      </c>
      <c r="R130" s="18" t="s">
        <v>2</v>
      </c>
      <c r="S130" s="18" t="s">
        <v>2</v>
      </c>
      <c r="T130" s="12">
        <v>0.56999999999999995</v>
      </c>
      <c r="U130" s="13">
        <f t="shared" ref="U130" si="15">+M130+P130+T130</f>
        <v>4.99</v>
      </c>
      <c r="V130" s="19" t="s">
        <v>3</v>
      </c>
      <c r="X130" s="3">
        <f t="shared" si="7"/>
        <v>0.56999999999999995</v>
      </c>
    </row>
    <row r="131" spans="1:24" hidden="1" x14ac:dyDescent="0.25">
      <c r="A131" s="5" t="s">
        <v>243</v>
      </c>
      <c r="B131" s="18" t="s">
        <v>117</v>
      </c>
      <c r="C131" s="20" t="str">
        <f t="shared" ref="C131:C162" si="16">+LEFT(B131,2)</f>
        <v>09</v>
      </c>
      <c r="D131" s="20" t="str">
        <f t="shared" ref="D131:D162" si="17">+RIGHT(B131,2)</f>
        <v>04</v>
      </c>
      <c r="E131" s="19" t="s">
        <v>21</v>
      </c>
      <c r="F131" s="19" t="s">
        <v>22</v>
      </c>
      <c r="G131" s="4" t="str">
        <f t="shared" ref="G131:G162" si="18">+C131&amp;F131&amp;D131&amp;F131&amp;E131</f>
        <v>09/04/2021</v>
      </c>
      <c r="H131" s="19" t="s">
        <v>1</v>
      </c>
      <c r="I131" s="19" t="s">
        <v>0</v>
      </c>
      <c r="J131" s="5" t="s">
        <v>346</v>
      </c>
      <c r="K131" s="5" t="s">
        <v>55</v>
      </c>
      <c r="L131" s="22" t="str">
        <f>+VLOOKUP(K131,'[2]BASE DE PROVEEDORES'!$A:$B,2,0)</f>
        <v xml:space="preserve">DISTRIBUIDORA DE LUBRICANTES Y COMBUSTIBLES S.A DE C.V </v>
      </c>
      <c r="M131" s="25">
        <f>12.81+6.4</f>
        <v>19.21</v>
      </c>
      <c r="N131" s="5" t="s">
        <v>2</v>
      </c>
      <c r="O131" s="5" t="s">
        <v>2</v>
      </c>
      <c r="P131" s="6">
        <v>143.37</v>
      </c>
      <c r="Q131" s="5" t="s">
        <v>2</v>
      </c>
      <c r="R131" s="18" t="s">
        <v>2</v>
      </c>
      <c r="S131" s="18" t="s">
        <v>2</v>
      </c>
      <c r="T131" s="12">
        <v>18.64</v>
      </c>
      <c r="U131" s="13">
        <f t="shared" ref="U131:U162" si="19">+M131+P131+T131</f>
        <v>181.22000000000003</v>
      </c>
      <c r="V131" s="19" t="s">
        <v>3</v>
      </c>
      <c r="X131" s="3">
        <f t="shared" ref="X131:X162" si="20">+ROUND(T131,2)</f>
        <v>18.64</v>
      </c>
    </row>
    <row r="132" spans="1:24" hidden="1" x14ac:dyDescent="0.25">
      <c r="A132" s="5" t="s">
        <v>243</v>
      </c>
      <c r="B132" s="18" t="s">
        <v>112</v>
      </c>
      <c r="C132" s="20" t="str">
        <f t="shared" si="16"/>
        <v>11</v>
      </c>
      <c r="D132" s="20" t="str">
        <f t="shared" si="17"/>
        <v>04</v>
      </c>
      <c r="E132" s="19" t="s">
        <v>21</v>
      </c>
      <c r="F132" s="19" t="s">
        <v>22</v>
      </c>
      <c r="G132" s="4" t="str">
        <f t="shared" si="18"/>
        <v>11/04/2021</v>
      </c>
      <c r="H132" s="19" t="s">
        <v>1</v>
      </c>
      <c r="I132" s="19" t="s">
        <v>0</v>
      </c>
      <c r="J132" s="5" t="s">
        <v>329</v>
      </c>
      <c r="K132" s="5" t="s">
        <v>55</v>
      </c>
      <c r="L132" s="22" t="str">
        <f>+VLOOKUP(K132,'[2]BASE DE PROVEEDORES'!$A:$B,2,0)</f>
        <v xml:space="preserve">DISTRIBUIDORA DE LUBRICANTES Y COMBUSTIBLES S.A DE C.V </v>
      </c>
      <c r="M132" s="25">
        <f>6.57+3.29</f>
        <v>9.86</v>
      </c>
      <c r="N132" s="5" t="s">
        <v>2</v>
      </c>
      <c r="O132" s="5" t="s">
        <v>2</v>
      </c>
      <c r="P132" s="6">
        <v>73.61</v>
      </c>
      <c r="Q132" s="5" t="s">
        <v>2</v>
      </c>
      <c r="R132" s="18" t="s">
        <v>2</v>
      </c>
      <c r="S132" s="18" t="s">
        <v>2</v>
      </c>
      <c r="T132" s="12">
        <v>9.57</v>
      </c>
      <c r="U132" s="13">
        <f t="shared" si="19"/>
        <v>93.039999999999992</v>
      </c>
      <c r="V132" s="19" t="s">
        <v>3</v>
      </c>
      <c r="X132" s="3">
        <f t="shared" si="20"/>
        <v>9.57</v>
      </c>
    </row>
    <row r="133" spans="1:24" hidden="1" x14ac:dyDescent="0.25">
      <c r="A133" s="5" t="s">
        <v>243</v>
      </c>
      <c r="B133" s="18" t="s">
        <v>109</v>
      </c>
      <c r="C133" s="20" t="str">
        <f t="shared" si="16"/>
        <v>13</v>
      </c>
      <c r="D133" s="20" t="str">
        <f t="shared" si="17"/>
        <v>04</v>
      </c>
      <c r="E133" s="19" t="s">
        <v>21</v>
      </c>
      <c r="F133" s="19" t="s">
        <v>22</v>
      </c>
      <c r="G133" s="4" t="str">
        <f t="shared" si="18"/>
        <v>13/04/2021</v>
      </c>
      <c r="H133" s="19" t="s">
        <v>1</v>
      </c>
      <c r="I133" s="19" t="s">
        <v>0</v>
      </c>
      <c r="J133" s="5" t="s">
        <v>345</v>
      </c>
      <c r="K133" s="5" t="s">
        <v>55</v>
      </c>
      <c r="L133" s="22" t="str">
        <f>+VLOOKUP(K133,'[2]BASE DE PROVEEDORES'!$A:$B,2,0)</f>
        <v xml:space="preserve">DISTRIBUIDORA DE LUBRICANTES Y COMBUSTIBLES S.A DE C.V </v>
      </c>
      <c r="M133" s="25">
        <f>15.99+8</f>
        <v>23.990000000000002</v>
      </c>
      <c r="N133" s="5" t="s">
        <v>2</v>
      </c>
      <c r="O133" s="5" t="s">
        <v>2</v>
      </c>
      <c r="P133" s="6">
        <v>178.94</v>
      </c>
      <c r="Q133" s="5" t="s">
        <v>2</v>
      </c>
      <c r="R133" s="18" t="s">
        <v>2</v>
      </c>
      <c r="S133" s="18" t="s">
        <v>2</v>
      </c>
      <c r="T133" s="12">
        <v>23.26</v>
      </c>
      <c r="U133" s="13">
        <f t="shared" si="19"/>
        <v>226.19</v>
      </c>
      <c r="V133" s="19" t="s">
        <v>3</v>
      </c>
      <c r="X133" s="3">
        <f t="shared" si="20"/>
        <v>23.26</v>
      </c>
    </row>
    <row r="134" spans="1:24" hidden="1" x14ac:dyDescent="0.25">
      <c r="A134" s="5" t="s">
        <v>243</v>
      </c>
      <c r="B134" s="18" t="s">
        <v>109</v>
      </c>
      <c r="C134" s="20" t="str">
        <f t="shared" si="16"/>
        <v>13</v>
      </c>
      <c r="D134" s="20" t="str">
        <f t="shared" si="17"/>
        <v>04</v>
      </c>
      <c r="E134" s="19" t="s">
        <v>21</v>
      </c>
      <c r="F134" s="19" t="s">
        <v>22</v>
      </c>
      <c r="G134" s="4" t="str">
        <f t="shared" si="18"/>
        <v>13/04/2021</v>
      </c>
      <c r="H134" s="19" t="s">
        <v>1</v>
      </c>
      <c r="I134" s="19" t="s">
        <v>0</v>
      </c>
      <c r="J134" s="5" t="s">
        <v>350</v>
      </c>
      <c r="K134" s="5" t="s">
        <v>55</v>
      </c>
      <c r="L134" s="22" t="str">
        <f>+VLOOKUP(K134,'[2]BASE DE PROVEEDORES'!$A:$B,2,0)</f>
        <v xml:space="preserve">DISTRIBUIDORA DE LUBRICANTES Y COMBUSTIBLES S.A DE C.V </v>
      </c>
      <c r="M134" s="25">
        <f>7.21+3.61</f>
        <v>10.82</v>
      </c>
      <c r="N134" s="5" t="s">
        <v>2</v>
      </c>
      <c r="O134" s="5" t="s">
        <v>2</v>
      </c>
      <c r="P134" s="6">
        <v>80.73</v>
      </c>
      <c r="Q134" s="5" t="s">
        <v>2</v>
      </c>
      <c r="R134" s="18" t="s">
        <v>2</v>
      </c>
      <c r="S134" s="18" t="s">
        <v>2</v>
      </c>
      <c r="T134" s="12">
        <v>10.49</v>
      </c>
      <c r="U134" s="13">
        <f t="shared" si="19"/>
        <v>102.04</v>
      </c>
      <c r="V134" s="19" t="s">
        <v>3</v>
      </c>
      <c r="X134" s="3">
        <f t="shared" si="20"/>
        <v>10.49</v>
      </c>
    </row>
    <row r="135" spans="1:24" hidden="1" x14ac:dyDescent="0.25">
      <c r="A135" s="5" t="s">
        <v>243</v>
      </c>
      <c r="B135" s="18" t="s">
        <v>109</v>
      </c>
      <c r="C135" s="20" t="str">
        <f t="shared" si="16"/>
        <v>13</v>
      </c>
      <c r="D135" s="20" t="str">
        <f t="shared" si="17"/>
        <v>04</v>
      </c>
      <c r="E135" s="19" t="s">
        <v>21</v>
      </c>
      <c r="F135" s="19" t="s">
        <v>22</v>
      </c>
      <c r="G135" s="4" t="str">
        <f t="shared" si="18"/>
        <v>13/04/2021</v>
      </c>
      <c r="H135" s="19" t="s">
        <v>1</v>
      </c>
      <c r="I135" s="19" t="s">
        <v>0</v>
      </c>
      <c r="J135" s="5" t="s">
        <v>352</v>
      </c>
      <c r="K135" s="5" t="s">
        <v>55</v>
      </c>
      <c r="L135" s="22" t="str">
        <f>+VLOOKUP(K135,'[2]BASE DE PROVEEDORES'!$A:$B,2,0)</f>
        <v xml:space="preserve">DISTRIBUIDORA DE LUBRICANTES Y COMBUSTIBLES S.A DE C.V </v>
      </c>
      <c r="M135" s="25">
        <f>11.73+5.87</f>
        <v>17.600000000000001</v>
      </c>
      <c r="N135" s="5" t="s">
        <v>2</v>
      </c>
      <c r="O135" s="5" t="s">
        <v>2</v>
      </c>
      <c r="P135" s="6">
        <v>131.35</v>
      </c>
      <c r="Q135" s="5" t="s">
        <v>2</v>
      </c>
      <c r="R135" s="18" t="s">
        <v>2</v>
      </c>
      <c r="S135" s="18" t="s">
        <v>2</v>
      </c>
      <c r="T135" s="12">
        <v>17.079999999999998</v>
      </c>
      <c r="U135" s="13">
        <f t="shared" si="19"/>
        <v>166.02999999999997</v>
      </c>
      <c r="V135" s="19" t="s">
        <v>3</v>
      </c>
      <c r="X135" s="3">
        <f t="shared" si="20"/>
        <v>17.079999999999998</v>
      </c>
    </row>
    <row r="136" spans="1:24" hidden="1" x14ac:dyDescent="0.25">
      <c r="A136" s="5" t="s">
        <v>243</v>
      </c>
      <c r="B136" s="18" t="s">
        <v>109</v>
      </c>
      <c r="C136" s="20" t="str">
        <f t="shared" si="16"/>
        <v>13</v>
      </c>
      <c r="D136" s="20" t="str">
        <f t="shared" si="17"/>
        <v>04</v>
      </c>
      <c r="E136" s="19" t="s">
        <v>21</v>
      </c>
      <c r="F136" s="19" t="s">
        <v>22</v>
      </c>
      <c r="G136" s="4" t="str">
        <f t="shared" si="18"/>
        <v>13/04/2021</v>
      </c>
      <c r="H136" s="19" t="s">
        <v>1</v>
      </c>
      <c r="I136" s="19" t="s">
        <v>0</v>
      </c>
      <c r="J136" s="5" t="s">
        <v>364</v>
      </c>
      <c r="K136" s="5" t="s">
        <v>55</v>
      </c>
      <c r="L136" s="22" t="str">
        <f>+VLOOKUP(K136,'[2]BASE DE PROVEEDORES'!$A:$B,2,0)</f>
        <v xml:space="preserve">DISTRIBUIDORA DE LUBRICANTES Y COMBUSTIBLES S.A DE C.V </v>
      </c>
      <c r="M136" s="25">
        <f>3.19+1.59</f>
        <v>4.78</v>
      </c>
      <c r="N136" s="5" t="s">
        <v>2</v>
      </c>
      <c r="O136" s="5" t="s">
        <v>2</v>
      </c>
      <c r="P136" s="6">
        <v>35.72</v>
      </c>
      <c r="Q136" s="5" t="s">
        <v>2</v>
      </c>
      <c r="R136" s="18" t="s">
        <v>2</v>
      </c>
      <c r="S136" s="18" t="s">
        <v>2</v>
      </c>
      <c r="T136" s="12">
        <v>4.6399999999999997</v>
      </c>
      <c r="U136" s="13">
        <f t="shared" si="19"/>
        <v>45.14</v>
      </c>
      <c r="V136" s="19" t="s">
        <v>3</v>
      </c>
      <c r="X136" s="3">
        <f t="shared" si="20"/>
        <v>4.6399999999999997</v>
      </c>
    </row>
    <row r="137" spans="1:24" hidden="1" x14ac:dyDescent="0.25">
      <c r="A137" s="5" t="s">
        <v>243</v>
      </c>
      <c r="B137" s="18" t="s">
        <v>199</v>
      </c>
      <c r="C137" s="20" t="str">
        <f t="shared" si="16"/>
        <v>14</v>
      </c>
      <c r="D137" s="20" t="str">
        <f t="shared" si="17"/>
        <v>04</v>
      </c>
      <c r="E137" s="19" t="s">
        <v>21</v>
      </c>
      <c r="F137" s="19" t="s">
        <v>22</v>
      </c>
      <c r="G137" s="4" t="str">
        <f t="shared" si="18"/>
        <v>14/04/2021</v>
      </c>
      <c r="H137" s="19" t="s">
        <v>1</v>
      </c>
      <c r="I137" s="19" t="s">
        <v>0</v>
      </c>
      <c r="J137" s="5" t="s">
        <v>362</v>
      </c>
      <c r="K137" s="5" t="s">
        <v>55</v>
      </c>
      <c r="L137" s="22" t="str">
        <f>+VLOOKUP(K137,'[2]BASE DE PROVEEDORES'!$A:$B,2,0)</f>
        <v xml:space="preserve">DISTRIBUIDORA DE LUBRICANTES Y COMBUSTIBLES S.A DE C.V </v>
      </c>
      <c r="M137" s="25">
        <v>0.61</v>
      </c>
      <c r="N137" s="5" t="s">
        <v>2</v>
      </c>
      <c r="O137" s="5" t="s">
        <v>2</v>
      </c>
      <c r="P137" s="6">
        <v>4.58</v>
      </c>
      <c r="Q137" s="5" t="s">
        <v>2</v>
      </c>
      <c r="R137" s="18" t="s">
        <v>2</v>
      </c>
      <c r="S137" s="18" t="s">
        <v>2</v>
      </c>
      <c r="T137" s="12">
        <v>0.6</v>
      </c>
      <c r="U137" s="13">
        <f t="shared" si="19"/>
        <v>5.79</v>
      </c>
      <c r="V137" s="19" t="s">
        <v>3</v>
      </c>
      <c r="X137" s="3">
        <f t="shared" si="20"/>
        <v>0.6</v>
      </c>
    </row>
    <row r="138" spans="1:24" hidden="1" x14ac:dyDescent="0.25">
      <c r="A138" s="5" t="s">
        <v>243</v>
      </c>
      <c r="B138" s="18" t="s">
        <v>199</v>
      </c>
      <c r="C138" s="20" t="str">
        <f t="shared" si="16"/>
        <v>14</v>
      </c>
      <c r="D138" s="20" t="str">
        <f t="shared" si="17"/>
        <v>04</v>
      </c>
      <c r="E138" s="19" t="s">
        <v>21</v>
      </c>
      <c r="F138" s="19" t="s">
        <v>22</v>
      </c>
      <c r="G138" s="4" t="str">
        <f t="shared" si="18"/>
        <v>14/04/2021</v>
      </c>
      <c r="H138" s="19" t="s">
        <v>1</v>
      </c>
      <c r="I138" s="19" t="s">
        <v>0</v>
      </c>
      <c r="J138" s="5" t="s">
        <v>363</v>
      </c>
      <c r="K138" s="5" t="s">
        <v>55</v>
      </c>
      <c r="L138" s="22" t="str">
        <f>+VLOOKUP(K138,'[2]BASE DE PROVEEDORES'!$A:$B,2,0)</f>
        <v xml:space="preserve">DISTRIBUIDORA DE LUBRICANTES Y COMBUSTIBLES S.A DE C.V </v>
      </c>
      <c r="M138" s="25">
        <v>0.61</v>
      </c>
      <c r="N138" s="5" t="s">
        <v>2</v>
      </c>
      <c r="O138" s="5" t="s">
        <v>2</v>
      </c>
      <c r="P138" s="6">
        <v>4.58</v>
      </c>
      <c r="Q138" s="5" t="s">
        <v>2</v>
      </c>
      <c r="R138" s="18" t="s">
        <v>2</v>
      </c>
      <c r="S138" s="18" t="s">
        <v>2</v>
      </c>
      <c r="T138" s="12">
        <v>0.6</v>
      </c>
      <c r="U138" s="13">
        <f t="shared" si="19"/>
        <v>5.79</v>
      </c>
      <c r="V138" s="19" t="s">
        <v>3</v>
      </c>
      <c r="X138" s="3">
        <f t="shared" si="20"/>
        <v>0.6</v>
      </c>
    </row>
    <row r="139" spans="1:24" hidden="1" x14ac:dyDescent="0.25">
      <c r="A139" s="5" t="s">
        <v>243</v>
      </c>
      <c r="B139" s="18" t="s">
        <v>219</v>
      </c>
      <c r="C139" s="20" t="str">
        <f t="shared" si="16"/>
        <v>15</v>
      </c>
      <c r="D139" s="20" t="str">
        <f t="shared" si="17"/>
        <v>04</v>
      </c>
      <c r="E139" s="19" t="s">
        <v>21</v>
      </c>
      <c r="F139" s="19" t="s">
        <v>22</v>
      </c>
      <c r="G139" s="4" t="str">
        <f t="shared" si="18"/>
        <v>15/04/2021</v>
      </c>
      <c r="H139" s="19" t="s">
        <v>1</v>
      </c>
      <c r="I139" s="19" t="s">
        <v>0</v>
      </c>
      <c r="J139" s="5" t="s">
        <v>359</v>
      </c>
      <c r="K139" s="5" t="s">
        <v>55</v>
      </c>
      <c r="L139" s="22" t="str">
        <f>+VLOOKUP(K139,'[2]BASE DE PROVEEDORES'!$A:$B,2,0)</f>
        <v xml:space="preserve">DISTRIBUIDORA DE LUBRICANTES Y COMBUSTIBLES S.A DE C.V </v>
      </c>
      <c r="M139" s="25">
        <f>23.09+11.54</f>
        <v>34.629999999999995</v>
      </c>
      <c r="N139" s="5" t="s">
        <v>2</v>
      </c>
      <c r="O139" s="5" t="s">
        <v>2</v>
      </c>
      <c r="P139" s="6">
        <v>258.32</v>
      </c>
      <c r="Q139" s="5" t="s">
        <v>2</v>
      </c>
      <c r="R139" s="18" t="s">
        <v>2</v>
      </c>
      <c r="S139" s="18" t="s">
        <v>2</v>
      </c>
      <c r="T139" s="12">
        <v>33.58</v>
      </c>
      <c r="U139" s="13">
        <f t="shared" si="19"/>
        <v>326.52999999999997</v>
      </c>
      <c r="V139" s="19" t="s">
        <v>3</v>
      </c>
      <c r="X139" s="3">
        <f t="shared" si="20"/>
        <v>33.58</v>
      </c>
    </row>
    <row r="140" spans="1:24" hidden="1" x14ac:dyDescent="0.25">
      <c r="A140" s="5" t="s">
        <v>243</v>
      </c>
      <c r="B140" s="18" t="s">
        <v>219</v>
      </c>
      <c r="C140" s="20" t="str">
        <f t="shared" si="16"/>
        <v>15</v>
      </c>
      <c r="D140" s="20" t="str">
        <f t="shared" si="17"/>
        <v>04</v>
      </c>
      <c r="E140" s="19" t="s">
        <v>21</v>
      </c>
      <c r="F140" s="19" t="s">
        <v>22</v>
      </c>
      <c r="G140" s="4" t="str">
        <f t="shared" si="18"/>
        <v>15/04/2021</v>
      </c>
      <c r="H140" s="19" t="s">
        <v>1</v>
      </c>
      <c r="I140" s="19" t="s">
        <v>0</v>
      </c>
      <c r="J140" s="5" t="s">
        <v>361</v>
      </c>
      <c r="K140" s="5" t="s">
        <v>55</v>
      </c>
      <c r="L140" s="22" t="str">
        <f>+VLOOKUP(K140,'[2]BASE DE PROVEEDORES'!$A:$B,2,0)</f>
        <v xml:space="preserve">DISTRIBUIDORA DE LUBRICANTES Y COMBUSTIBLES S.A DE C.V </v>
      </c>
      <c r="M140" s="25">
        <f>4.31+2.15</f>
        <v>6.4599999999999991</v>
      </c>
      <c r="N140" s="5" t="s">
        <v>2</v>
      </c>
      <c r="O140" s="5" t="s">
        <v>2</v>
      </c>
      <c r="P140" s="6">
        <v>48.24</v>
      </c>
      <c r="Q140" s="5" t="s">
        <v>2</v>
      </c>
      <c r="R140" s="18" t="s">
        <v>2</v>
      </c>
      <c r="S140" s="18" t="s">
        <v>2</v>
      </c>
      <c r="T140" s="12">
        <v>6.27</v>
      </c>
      <c r="U140" s="13">
        <f t="shared" si="19"/>
        <v>60.97</v>
      </c>
      <c r="V140" s="19" t="s">
        <v>3</v>
      </c>
      <c r="X140" s="3">
        <f t="shared" si="20"/>
        <v>6.27</v>
      </c>
    </row>
    <row r="141" spans="1:24" hidden="1" x14ac:dyDescent="0.25">
      <c r="A141" s="5" t="s">
        <v>243</v>
      </c>
      <c r="B141" s="18" t="s">
        <v>219</v>
      </c>
      <c r="C141" s="20" t="str">
        <f t="shared" si="16"/>
        <v>15</v>
      </c>
      <c r="D141" s="20" t="str">
        <f t="shared" si="17"/>
        <v>04</v>
      </c>
      <c r="E141" s="19" t="s">
        <v>21</v>
      </c>
      <c r="F141" s="19" t="s">
        <v>22</v>
      </c>
      <c r="G141" s="4" t="str">
        <f t="shared" si="18"/>
        <v>15/04/2021</v>
      </c>
      <c r="H141" s="19" t="s">
        <v>1</v>
      </c>
      <c r="I141" s="19" t="s">
        <v>0</v>
      </c>
      <c r="J141" s="5" t="s">
        <v>477</v>
      </c>
      <c r="K141" s="5" t="s">
        <v>192</v>
      </c>
      <c r="L141" s="22" t="str">
        <f>+VLOOKUP(K141,'[2]BASE DE PROVEEDORES'!$A:$B,2,0)</f>
        <v>REPUESTOS NOE S.A DE C.V.</v>
      </c>
      <c r="M141" s="25">
        <v>0</v>
      </c>
      <c r="N141" s="5" t="s">
        <v>2</v>
      </c>
      <c r="O141" s="5" t="s">
        <v>2</v>
      </c>
      <c r="P141" s="6">
        <v>312</v>
      </c>
      <c r="Q141" s="5" t="s">
        <v>2</v>
      </c>
      <c r="R141" s="18" t="s">
        <v>2</v>
      </c>
      <c r="S141" s="18" t="s">
        <v>2</v>
      </c>
      <c r="T141" s="12">
        <v>40.56</v>
      </c>
      <c r="U141" s="13">
        <f t="shared" si="19"/>
        <v>352.56</v>
      </c>
      <c r="V141" s="19" t="s">
        <v>3</v>
      </c>
      <c r="X141" s="3">
        <f t="shared" si="20"/>
        <v>40.56</v>
      </c>
    </row>
    <row r="142" spans="1:24" hidden="1" x14ac:dyDescent="0.25">
      <c r="A142" s="5" t="s">
        <v>243</v>
      </c>
      <c r="B142" s="18" t="s">
        <v>147</v>
      </c>
      <c r="C142" s="20" t="str">
        <f t="shared" si="16"/>
        <v>16</v>
      </c>
      <c r="D142" s="20" t="str">
        <f t="shared" si="17"/>
        <v>04</v>
      </c>
      <c r="E142" s="19" t="s">
        <v>21</v>
      </c>
      <c r="F142" s="19" t="s">
        <v>22</v>
      </c>
      <c r="G142" s="4" t="str">
        <f t="shared" si="18"/>
        <v>16/04/2021</v>
      </c>
      <c r="H142" s="19" t="s">
        <v>1</v>
      </c>
      <c r="I142" s="19" t="s">
        <v>0</v>
      </c>
      <c r="J142" s="5" t="s">
        <v>358</v>
      </c>
      <c r="K142" s="5" t="s">
        <v>55</v>
      </c>
      <c r="L142" s="22" t="str">
        <f>+VLOOKUP(K142,'[2]BASE DE PROVEEDORES'!$A:$B,2,0)</f>
        <v xml:space="preserve">DISTRIBUIDORA DE LUBRICANTES Y COMBUSTIBLES S.A DE C.V </v>
      </c>
      <c r="M142" s="25">
        <f>6.56+3.27</f>
        <v>9.83</v>
      </c>
      <c r="N142" s="5" t="s">
        <v>2</v>
      </c>
      <c r="O142" s="5" t="s">
        <v>2</v>
      </c>
      <c r="P142" s="6">
        <v>73.37</v>
      </c>
      <c r="Q142" s="5" t="s">
        <v>2</v>
      </c>
      <c r="R142" s="18" t="s">
        <v>2</v>
      </c>
      <c r="S142" s="18" t="s">
        <v>2</v>
      </c>
      <c r="T142" s="12">
        <v>9.5399999999999991</v>
      </c>
      <c r="U142" s="13">
        <f t="shared" si="19"/>
        <v>92.740000000000009</v>
      </c>
      <c r="V142" s="19" t="s">
        <v>3</v>
      </c>
      <c r="X142" s="3">
        <f t="shared" si="20"/>
        <v>9.5399999999999991</v>
      </c>
    </row>
    <row r="143" spans="1:24" hidden="1" x14ac:dyDescent="0.25">
      <c r="A143" s="5" t="s">
        <v>243</v>
      </c>
      <c r="B143" s="18" t="s">
        <v>147</v>
      </c>
      <c r="C143" s="20" t="str">
        <f t="shared" si="16"/>
        <v>16</v>
      </c>
      <c r="D143" s="20" t="str">
        <f t="shared" si="17"/>
        <v>04</v>
      </c>
      <c r="E143" s="19" t="s">
        <v>21</v>
      </c>
      <c r="F143" s="19" t="s">
        <v>22</v>
      </c>
      <c r="G143" s="4" t="str">
        <f t="shared" si="18"/>
        <v>16/04/2021</v>
      </c>
      <c r="H143" s="19" t="s">
        <v>1</v>
      </c>
      <c r="I143" s="19" t="s">
        <v>0</v>
      </c>
      <c r="J143" s="5" t="s">
        <v>360</v>
      </c>
      <c r="K143" s="5" t="s">
        <v>55</v>
      </c>
      <c r="L143" s="22" t="str">
        <f>+VLOOKUP(K143,'[2]BASE DE PROVEEDORES'!$A:$B,2,0)</f>
        <v xml:space="preserve">DISTRIBUIDORA DE LUBRICANTES Y COMBUSTIBLES S.A DE C.V </v>
      </c>
      <c r="M143" s="25">
        <v>1.5</v>
      </c>
      <c r="N143" s="5" t="s">
        <v>2</v>
      </c>
      <c r="O143" s="5" t="s">
        <v>2</v>
      </c>
      <c r="P143" s="6">
        <v>11.19</v>
      </c>
      <c r="Q143" s="5" t="s">
        <v>2</v>
      </c>
      <c r="R143" s="18" t="s">
        <v>2</v>
      </c>
      <c r="S143" s="18" t="s">
        <v>2</v>
      </c>
      <c r="T143" s="12">
        <v>1.45</v>
      </c>
      <c r="U143" s="13">
        <f t="shared" si="19"/>
        <v>14.139999999999999</v>
      </c>
      <c r="V143" s="19" t="s">
        <v>3</v>
      </c>
      <c r="X143" s="3">
        <f t="shared" si="20"/>
        <v>1.45</v>
      </c>
    </row>
    <row r="144" spans="1:24" hidden="1" x14ac:dyDescent="0.25">
      <c r="A144" s="5" t="s">
        <v>243</v>
      </c>
      <c r="B144" s="18" t="s">
        <v>147</v>
      </c>
      <c r="C144" s="20" t="str">
        <f t="shared" si="16"/>
        <v>16</v>
      </c>
      <c r="D144" s="20" t="str">
        <f t="shared" si="17"/>
        <v>04</v>
      </c>
      <c r="E144" s="19" t="s">
        <v>21</v>
      </c>
      <c r="F144" s="19" t="s">
        <v>22</v>
      </c>
      <c r="G144" s="4" t="str">
        <f t="shared" si="18"/>
        <v>16/04/2021</v>
      </c>
      <c r="H144" s="19" t="s">
        <v>1</v>
      </c>
      <c r="I144" s="19" t="s">
        <v>0</v>
      </c>
      <c r="J144" s="5" t="s">
        <v>383</v>
      </c>
      <c r="K144" s="5" t="s">
        <v>42</v>
      </c>
      <c r="L144" s="22" t="str">
        <f>+VLOOKUP(K144,'[2]BASE DE PROVEEDORES'!$A:$B,2,0)</f>
        <v>ECSA OPERADORA EL SALVADOR S.A DE C.V.</v>
      </c>
      <c r="M144" s="25">
        <v>0.9</v>
      </c>
      <c r="N144" s="5" t="s">
        <v>2</v>
      </c>
      <c r="O144" s="5" t="s">
        <v>2</v>
      </c>
      <c r="P144" s="6">
        <v>8.0500000000000007</v>
      </c>
      <c r="Q144" s="5" t="s">
        <v>2</v>
      </c>
      <c r="R144" s="18" t="s">
        <v>2</v>
      </c>
      <c r="S144" s="18" t="s">
        <v>2</v>
      </c>
      <c r="T144" s="12">
        <v>1.05</v>
      </c>
      <c r="U144" s="13">
        <f t="shared" si="19"/>
        <v>10.000000000000002</v>
      </c>
      <c r="V144" s="19" t="s">
        <v>3</v>
      </c>
      <c r="X144" s="3">
        <f t="shared" si="20"/>
        <v>1.05</v>
      </c>
    </row>
    <row r="145" spans="1:24" hidden="1" x14ac:dyDescent="0.25">
      <c r="A145" s="5" t="s">
        <v>243</v>
      </c>
      <c r="B145" s="18" t="s">
        <v>147</v>
      </c>
      <c r="C145" s="20" t="str">
        <f t="shared" si="16"/>
        <v>16</v>
      </c>
      <c r="D145" s="20" t="str">
        <f t="shared" si="17"/>
        <v>04</v>
      </c>
      <c r="E145" s="19" t="s">
        <v>21</v>
      </c>
      <c r="F145" s="19" t="s">
        <v>22</v>
      </c>
      <c r="G145" s="4" t="str">
        <f t="shared" si="18"/>
        <v>16/04/2021</v>
      </c>
      <c r="H145" s="19" t="s">
        <v>1</v>
      </c>
      <c r="I145" s="19" t="s">
        <v>0</v>
      </c>
      <c r="J145" s="5" t="s">
        <v>384</v>
      </c>
      <c r="K145" s="5" t="s">
        <v>42</v>
      </c>
      <c r="L145" s="22" t="str">
        <f>+VLOOKUP(K145,'[2]BASE DE PROVEEDORES'!$A:$B,2,0)</f>
        <v>ECSA OPERADORA EL SALVADOR S.A DE C.V.</v>
      </c>
      <c r="M145" s="25">
        <v>20.87</v>
      </c>
      <c r="N145" s="5" t="s">
        <v>2</v>
      </c>
      <c r="O145" s="5" t="s">
        <v>2</v>
      </c>
      <c r="P145" s="6">
        <v>158.86000000000001</v>
      </c>
      <c r="Q145" s="5" t="s">
        <v>2</v>
      </c>
      <c r="R145" s="18" t="s">
        <v>2</v>
      </c>
      <c r="S145" s="18" t="s">
        <v>2</v>
      </c>
      <c r="T145" s="12">
        <v>20.65</v>
      </c>
      <c r="U145" s="13">
        <f t="shared" si="19"/>
        <v>200.38000000000002</v>
      </c>
      <c r="V145" s="19" t="s">
        <v>3</v>
      </c>
      <c r="X145" s="3">
        <f t="shared" si="20"/>
        <v>20.65</v>
      </c>
    </row>
    <row r="146" spans="1:24" hidden="1" x14ac:dyDescent="0.25">
      <c r="A146" s="5" t="s">
        <v>243</v>
      </c>
      <c r="B146" s="18" t="s">
        <v>355</v>
      </c>
      <c r="C146" s="20" t="str">
        <f t="shared" si="16"/>
        <v>17</v>
      </c>
      <c r="D146" s="20" t="str">
        <f t="shared" si="17"/>
        <v>04</v>
      </c>
      <c r="E146" s="19" t="s">
        <v>21</v>
      </c>
      <c r="F146" s="19" t="s">
        <v>22</v>
      </c>
      <c r="G146" s="4" t="str">
        <f t="shared" si="18"/>
        <v>17/04/2021</v>
      </c>
      <c r="H146" s="19" t="s">
        <v>1</v>
      </c>
      <c r="I146" s="19" t="s">
        <v>0</v>
      </c>
      <c r="J146" s="5" t="s">
        <v>356</v>
      </c>
      <c r="K146" s="5" t="s">
        <v>55</v>
      </c>
      <c r="L146" s="22" t="str">
        <f>+VLOOKUP(K146,'[2]BASE DE PROVEEDORES'!$A:$B,2,0)</f>
        <v xml:space="preserve">DISTRIBUIDORA DE LUBRICANTES Y COMBUSTIBLES S.A DE C.V </v>
      </c>
      <c r="M146" s="25">
        <f>27.81+13.91</f>
        <v>41.72</v>
      </c>
      <c r="N146" s="5" t="s">
        <v>2</v>
      </c>
      <c r="O146" s="5" t="s">
        <v>2</v>
      </c>
      <c r="P146" s="6">
        <v>311.22000000000003</v>
      </c>
      <c r="Q146" s="5" t="s">
        <v>2</v>
      </c>
      <c r="R146" s="18" t="s">
        <v>2</v>
      </c>
      <c r="S146" s="18" t="s">
        <v>2</v>
      </c>
      <c r="T146" s="12">
        <v>40.46</v>
      </c>
      <c r="U146" s="13">
        <f t="shared" si="19"/>
        <v>393.40000000000003</v>
      </c>
      <c r="V146" s="19" t="s">
        <v>3</v>
      </c>
      <c r="X146" s="3">
        <f t="shared" si="20"/>
        <v>40.46</v>
      </c>
    </row>
    <row r="147" spans="1:24" hidden="1" x14ac:dyDescent="0.25">
      <c r="A147" s="5" t="s">
        <v>243</v>
      </c>
      <c r="B147" s="18" t="s">
        <v>355</v>
      </c>
      <c r="C147" s="20" t="str">
        <f t="shared" si="16"/>
        <v>17</v>
      </c>
      <c r="D147" s="20" t="str">
        <f t="shared" si="17"/>
        <v>04</v>
      </c>
      <c r="E147" s="19" t="s">
        <v>21</v>
      </c>
      <c r="F147" s="19" t="s">
        <v>22</v>
      </c>
      <c r="G147" s="4" t="str">
        <f t="shared" si="18"/>
        <v>17/04/2021</v>
      </c>
      <c r="H147" s="19" t="s">
        <v>1</v>
      </c>
      <c r="I147" s="19" t="s">
        <v>0</v>
      </c>
      <c r="J147" s="5" t="s">
        <v>357</v>
      </c>
      <c r="K147" s="5" t="s">
        <v>55</v>
      </c>
      <c r="L147" s="22" t="str">
        <f>+VLOOKUP(K147,'[2]BASE DE PROVEEDORES'!$A:$B,2,0)</f>
        <v xml:space="preserve">DISTRIBUIDORA DE LUBRICANTES Y COMBUSTIBLES S.A DE C.V </v>
      </c>
      <c r="M147" s="25">
        <v>39.15</v>
      </c>
      <c r="N147" s="5" t="s">
        <v>2</v>
      </c>
      <c r="O147" s="5" t="s">
        <v>2</v>
      </c>
      <c r="P147" s="6">
        <v>291.95999999999998</v>
      </c>
      <c r="Q147" s="5" t="s">
        <v>2</v>
      </c>
      <c r="R147" s="18" t="s">
        <v>2</v>
      </c>
      <c r="S147" s="18" t="s">
        <v>2</v>
      </c>
      <c r="T147" s="12">
        <v>37.950000000000003</v>
      </c>
      <c r="U147" s="13">
        <f t="shared" si="19"/>
        <v>369.05999999999995</v>
      </c>
      <c r="V147" s="19" t="s">
        <v>3</v>
      </c>
      <c r="X147" s="3">
        <f t="shared" si="20"/>
        <v>37.950000000000003</v>
      </c>
    </row>
    <row r="148" spans="1:24" hidden="1" x14ac:dyDescent="0.25">
      <c r="A148" s="5" t="s">
        <v>243</v>
      </c>
      <c r="B148" s="18" t="s">
        <v>376</v>
      </c>
      <c r="C148" s="20" t="str">
        <f t="shared" si="16"/>
        <v>18</v>
      </c>
      <c r="D148" s="20" t="str">
        <f t="shared" si="17"/>
        <v>04</v>
      </c>
      <c r="E148" s="19" t="s">
        <v>21</v>
      </c>
      <c r="F148" s="19" t="s">
        <v>22</v>
      </c>
      <c r="G148" s="4" t="str">
        <f t="shared" si="18"/>
        <v>18/04/2021</v>
      </c>
      <c r="H148" s="19" t="s">
        <v>1</v>
      </c>
      <c r="I148" s="19" t="s">
        <v>0</v>
      </c>
      <c r="J148" s="5" t="s">
        <v>377</v>
      </c>
      <c r="K148" s="5" t="s">
        <v>55</v>
      </c>
      <c r="L148" s="22" t="str">
        <f>+VLOOKUP(K148,'[2]BASE DE PROVEEDORES'!$A:$B,2,0)</f>
        <v xml:space="preserve">DISTRIBUIDORA DE LUBRICANTES Y COMBUSTIBLES S.A DE C.V </v>
      </c>
      <c r="M148" s="25">
        <f>9.57+4.78</f>
        <v>14.350000000000001</v>
      </c>
      <c r="N148" s="5" t="s">
        <v>2</v>
      </c>
      <c r="O148" s="5" t="s">
        <v>2</v>
      </c>
      <c r="P148" s="6">
        <v>107.09</v>
      </c>
      <c r="Q148" s="5" t="s">
        <v>2</v>
      </c>
      <c r="R148" s="18" t="s">
        <v>2</v>
      </c>
      <c r="S148" s="18" t="s">
        <v>2</v>
      </c>
      <c r="T148" s="12">
        <v>13.92</v>
      </c>
      <c r="U148" s="13">
        <f t="shared" si="19"/>
        <v>135.35999999999999</v>
      </c>
      <c r="V148" s="19" t="s">
        <v>3</v>
      </c>
      <c r="X148" s="3">
        <f t="shared" si="20"/>
        <v>13.92</v>
      </c>
    </row>
    <row r="149" spans="1:24" hidden="1" x14ac:dyDescent="0.25">
      <c r="A149" s="5" t="s">
        <v>243</v>
      </c>
      <c r="B149" s="18" t="s">
        <v>155</v>
      </c>
      <c r="C149" s="20" t="str">
        <f t="shared" si="16"/>
        <v>19</v>
      </c>
      <c r="D149" s="20" t="str">
        <f t="shared" si="17"/>
        <v>04</v>
      </c>
      <c r="E149" s="19" t="s">
        <v>21</v>
      </c>
      <c r="F149" s="19" t="s">
        <v>22</v>
      </c>
      <c r="G149" s="4" t="str">
        <f t="shared" si="18"/>
        <v>19/04/2021</v>
      </c>
      <c r="H149" s="19" t="s">
        <v>1</v>
      </c>
      <c r="I149" s="19" t="s">
        <v>0</v>
      </c>
      <c r="J149" s="5" t="s">
        <v>373</v>
      </c>
      <c r="K149" s="5" t="s">
        <v>55</v>
      </c>
      <c r="L149" s="22" t="str">
        <f>+VLOOKUP(K149,'[2]BASE DE PROVEEDORES'!$A:$B,2,0)</f>
        <v xml:space="preserve">DISTRIBUIDORA DE LUBRICANTES Y COMBUSTIBLES S.A DE C.V </v>
      </c>
      <c r="M149" s="25">
        <f>27+13.5</f>
        <v>40.5</v>
      </c>
      <c r="N149" s="5" t="s">
        <v>2</v>
      </c>
      <c r="O149" s="5" t="s">
        <v>2</v>
      </c>
      <c r="P149" s="6">
        <v>302.12</v>
      </c>
      <c r="Q149" s="5" t="s">
        <v>2</v>
      </c>
      <c r="R149" s="18" t="s">
        <v>2</v>
      </c>
      <c r="S149" s="18" t="s">
        <v>2</v>
      </c>
      <c r="T149" s="12">
        <v>39.28</v>
      </c>
      <c r="U149" s="13">
        <f t="shared" si="19"/>
        <v>381.9</v>
      </c>
      <c r="V149" s="19" t="s">
        <v>3</v>
      </c>
      <c r="X149" s="3">
        <f t="shared" si="20"/>
        <v>39.28</v>
      </c>
    </row>
    <row r="150" spans="1:24" hidden="1" x14ac:dyDescent="0.25">
      <c r="A150" s="5" t="s">
        <v>243</v>
      </c>
      <c r="B150" s="18" t="s">
        <v>155</v>
      </c>
      <c r="C150" s="20" t="str">
        <f t="shared" si="16"/>
        <v>19</v>
      </c>
      <c r="D150" s="20" t="str">
        <f t="shared" si="17"/>
        <v>04</v>
      </c>
      <c r="E150" s="19" t="s">
        <v>21</v>
      </c>
      <c r="F150" s="19" t="s">
        <v>22</v>
      </c>
      <c r="G150" s="4" t="str">
        <f t="shared" si="18"/>
        <v>19/04/2021</v>
      </c>
      <c r="H150" s="19" t="s">
        <v>1</v>
      </c>
      <c r="I150" s="19" t="s">
        <v>0</v>
      </c>
      <c r="J150" s="5" t="s">
        <v>374</v>
      </c>
      <c r="K150" s="5" t="s">
        <v>55</v>
      </c>
      <c r="L150" s="22" t="str">
        <f>+VLOOKUP(K150,'[2]BASE DE PROVEEDORES'!$A:$B,2,0)</f>
        <v xml:space="preserve">DISTRIBUIDORA DE LUBRICANTES Y COMBUSTIBLES S.A DE C.V </v>
      </c>
      <c r="M150" s="25">
        <f>19.8+9.9</f>
        <v>29.700000000000003</v>
      </c>
      <c r="N150" s="5" t="s">
        <v>2</v>
      </c>
      <c r="O150" s="5" t="s">
        <v>2</v>
      </c>
      <c r="P150" s="6">
        <v>221.55</v>
      </c>
      <c r="Q150" s="5" t="s">
        <v>2</v>
      </c>
      <c r="R150" s="18" t="s">
        <v>2</v>
      </c>
      <c r="S150" s="18" t="s">
        <v>2</v>
      </c>
      <c r="T150" s="12">
        <v>28.8</v>
      </c>
      <c r="U150" s="13">
        <f t="shared" si="19"/>
        <v>280.05</v>
      </c>
      <c r="V150" s="19" t="s">
        <v>3</v>
      </c>
      <c r="X150" s="3">
        <f t="shared" si="20"/>
        <v>28.8</v>
      </c>
    </row>
    <row r="151" spans="1:24" hidden="1" x14ac:dyDescent="0.25">
      <c r="A151" s="5" t="s">
        <v>243</v>
      </c>
      <c r="B151" s="18" t="s">
        <v>216</v>
      </c>
      <c r="C151" s="20" t="str">
        <f t="shared" si="16"/>
        <v>20</v>
      </c>
      <c r="D151" s="20" t="str">
        <f t="shared" si="17"/>
        <v>04</v>
      </c>
      <c r="E151" s="19" t="s">
        <v>21</v>
      </c>
      <c r="F151" s="19" t="s">
        <v>22</v>
      </c>
      <c r="G151" s="4" t="str">
        <f t="shared" si="18"/>
        <v>20/04/2021</v>
      </c>
      <c r="H151" s="19" t="s">
        <v>1</v>
      </c>
      <c r="I151" s="19" t="s">
        <v>0</v>
      </c>
      <c r="J151" s="5" t="s">
        <v>371</v>
      </c>
      <c r="K151" s="5" t="s">
        <v>55</v>
      </c>
      <c r="L151" s="22" t="str">
        <f>+VLOOKUP(K151,'[2]BASE DE PROVEEDORES'!$A:$B,2,0)</f>
        <v xml:space="preserve">DISTRIBUIDORA DE LUBRICANTES Y COMBUSTIBLES S.A DE C.V </v>
      </c>
      <c r="M151" s="25">
        <f>3.2+1.6</f>
        <v>4.8000000000000007</v>
      </c>
      <c r="N151" s="5" t="s">
        <v>2</v>
      </c>
      <c r="O151" s="5" t="s">
        <v>2</v>
      </c>
      <c r="P151" s="6">
        <v>34.99</v>
      </c>
      <c r="Q151" s="5" t="s">
        <v>2</v>
      </c>
      <c r="R151" s="18" t="s">
        <v>2</v>
      </c>
      <c r="S151" s="18" t="s">
        <v>2</v>
      </c>
      <c r="T151" s="12">
        <v>4.55</v>
      </c>
      <c r="U151" s="13">
        <f t="shared" si="19"/>
        <v>44.34</v>
      </c>
      <c r="V151" s="19" t="s">
        <v>3</v>
      </c>
      <c r="X151" s="3">
        <f t="shared" si="20"/>
        <v>4.55</v>
      </c>
    </row>
    <row r="152" spans="1:24" hidden="1" x14ac:dyDescent="0.25">
      <c r="A152" s="5" t="s">
        <v>243</v>
      </c>
      <c r="B152" s="18" t="s">
        <v>216</v>
      </c>
      <c r="C152" s="20" t="str">
        <f t="shared" si="16"/>
        <v>20</v>
      </c>
      <c r="D152" s="20" t="str">
        <f t="shared" si="17"/>
        <v>04</v>
      </c>
      <c r="E152" s="19" t="s">
        <v>21</v>
      </c>
      <c r="F152" s="19" t="s">
        <v>22</v>
      </c>
      <c r="G152" s="4" t="str">
        <f t="shared" si="18"/>
        <v>20/04/2021</v>
      </c>
      <c r="H152" s="19" t="s">
        <v>1</v>
      </c>
      <c r="I152" s="19" t="s">
        <v>0</v>
      </c>
      <c r="J152" s="5" t="s">
        <v>372</v>
      </c>
      <c r="K152" s="5" t="s">
        <v>55</v>
      </c>
      <c r="L152" s="22" t="str">
        <f>+VLOOKUP(K152,'[2]BASE DE PROVEEDORES'!$A:$B,2,0)</f>
        <v xml:space="preserve">DISTRIBUIDORA DE LUBRICANTES Y COMBUSTIBLES S.A DE C.V </v>
      </c>
      <c r="M152" s="25">
        <f>0.67+0.34</f>
        <v>1.01</v>
      </c>
      <c r="N152" s="5" t="s">
        <v>2</v>
      </c>
      <c r="O152" s="5" t="s">
        <v>2</v>
      </c>
      <c r="P152" s="6">
        <v>7.34</v>
      </c>
      <c r="Q152" s="5" t="s">
        <v>2</v>
      </c>
      <c r="R152" s="18" t="s">
        <v>2</v>
      </c>
      <c r="S152" s="18" t="s">
        <v>2</v>
      </c>
      <c r="T152" s="12">
        <v>0.95</v>
      </c>
      <c r="U152" s="13">
        <f t="shared" si="19"/>
        <v>9.2999999999999989</v>
      </c>
      <c r="V152" s="19" t="s">
        <v>3</v>
      </c>
      <c r="X152" s="3">
        <f t="shared" si="20"/>
        <v>0.95</v>
      </c>
    </row>
    <row r="153" spans="1:24" hidden="1" x14ac:dyDescent="0.25">
      <c r="A153" s="5" t="s">
        <v>243</v>
      </c>
      <c r="B153" s="18" t="s">
        <v>141</v>
      </c>
      <c r="C153" s="20" t="str">
        <f t="shared" si="16"/>
        <v>21</v>
      </c>
      <c r="D153" s="20" t="str">
        <f t="shared" si="17"/>
        <v>04</v>
      </c>
      <c r="E153" s="19" t="s">
        <v>21</v>
      </c>
      <c r="F153" s="19" t="s">
        <v>22</v>
      </c>
      <c r="G153" s="4" t="str">
        <f t="shared" si="18"/>
        <v>21/04/2021</v>
      </c>
      <c r="H153" s="19" t="s">
        <v>1</v>
      </c>
      <c r="I153" s="19" t="s">
        <v>0</v>
      </c>
      <c r="J153" s="5" t="s">
        <v>344</v>
      </c>
      <c r="K153" s="5" t="s">
        <v>55</v>
      </c>
      <c r="L153" s="22" t="str">
        <f>+VLOOKUP(K153,'[2]BASE DE PROVEEDORES'!$A:$B,2,0)</f>
        <v xml:space="preserve">DISTRIBUIDORA DE LUBRICANTES Y COMBUSTIBLES S.A DE C.V </v>
      </c>
      <c r="M153" s="25">
        <f>12.06+6.03</f>
        <v>18.09</v>
      </c>
      <c r="N153" s="5" t="s">
        <v>2</v>
      </c>
      <c r="O153" s="5" t="s">
        <v>2</v>
      </c>
      <c r="P153" s="6">
        <v>131.80000000000001</v>
      </c>
      <c r="Q153" s="5" t="s">
        <v>2</v>
      </c>
      <c r="R153" s="18" t="s">
        <v>2</v>
      </c>
      <c r="S153" s="18" t="s">
        <v>2</v>
      </c>
      <c r="T153" s="12">
        <v>17.13</v>
      </c>
      <c r="U153" s="13">
        <f t="shared" si="19"/>
        <v>167.02</v>
      </c>
      <c r="V153" s="19" t="s">
        <v>3</v>
      </c>
      <c r="X153" s="3">
        <f t="shared" si="20"/>
        <v>17.13</v>
      </c>
    </row>
    <row r="154" spans="1:24" hidden="1" x14ac:dyDescent="0.25">
      <c r="A154" s="5" t="s">
        <v>243</v>
      </c>
      <c r="B154" s="18" t="s">
        <v>141</v>
      </c>
      <c r="C154" s="20" t="str">
        <f t="shared" si="16"/>
        <v>21</v>
      </c>
      <c r="D154" s="20" t="str">
        <f t="shared" si="17"/>
        <v>04</v>
      </c>
      <c r="E154" s="19" t="s">
        <v>21</v>
      </c>
      <c r="F154" s="19" t="s">
        <v>22</v>
      </c>
      <c r="G154" s="4" t="str">
        <f t="shared" si="18"/>
        <v>21/04/2021</v>
      </c>
      <c r="H154" s="19" t="s">
        <v>1</v>
      </c>
      <c r="I154" s="19" t="s">
        <v>0</v>
      </c>
      <c r="J154" s="5" t="s">
        <v>354</v>
      </c>
      <c r="K154" s="5" t="s">
        <v>55</v>
      </c>
      <c r="L154" s="22" t="str">
        <f>+VLOOKUP(K154,'[2]BASE DE PROVEEDORES'!$A:$B,2,0)</f>
        <v xml:space="preserve">DISTRIBUIDORA DE LUBRICANTES Y COMBUSTIBLES S.A DE C.V </v>
      </c>
      <c r="M154" s="25">
        <f>13.94+6.96</f>
        <v>20.9</v>
      </c>
      <c r="N154" s="5" t="s">
        <v>2</v>
      </c>
      <c r="O154" s="5" t="s">
        <v>2</v>
      </c>
      <c r="P154" s="6">
        <v>152.41</v>
      </c>
      <c r="Q154" s="5" t="s">
        <v>2</v>
      </c>
      <c r="R154" s="18" t="s">
        <v>2</v>
      </c>
      <c r="S154" s="18" t="s">
        <v>2</v>
      </c>
      <c r="T154" s="12">
        <v>19.809999999999999</v>
      </c>
      <c r="U154" s="13">
        <f t="shared" si="19"/>
        <v>193.12</v>
      </c>
      <c r="V154" s="19" t="s">
        <v>3</v>
      </c>
      <c r="X154" s="3">
        <f t="shared" si="20"/>
        <v>19.809999999999999</v>
      </c>
    </row>
    <row r="155" spans="1:24" hidden="1" x14ac:dyDescent="0.25">
      <c r="A155" s="5" t="s">
        <v>243</v>
      </c>
      <c r="B155" s="18" t="s">
        <v>141</v>
      </c>
      <c r="C155" s="20" t="str">
        <f t="shared" si="16"/>
        <v>21</v>
      </c>
      <c r="D155" s="20" t="str">
        <f t="shared" si="17"/>
        <v>04</v>
      </c>
      <c r="E155" s="19" t="s">
        <v>21</v>
      </c>
      <c r="F155" s="19" t="s">
        <v>22</v>
      </c>
      <c r="G155" s="4" t="str">
        <f t="shared" si="18"/>
        <v>21/04/2021</v>
      </c>
      <c r="H155" s="19" t="s">
        <v>1</v>
      </c>
      <c r="I155" s="19" t="s">
        <v>0</v>
      </c>
      <c r="J155" s="5" t="s">
        <v>370</v>
      </c>
      <c r="K155" s="5" t="s">
        <v>55</v>
      </c>
      <c r="L155" s="22" t="str">
        <f>+VLOOKUP(K155,'[2]BASE DE PROVEEDORES'!$A:$B,2,0)</f>
        <v xml:space="preserve">DISTRIBUIDORA DE LUBRICANTES Y COMBUSTIBLES S.A DE C.V </v>
      </c>
      <c r="M155" s="25">
        <f>1.19+0.59</f>
        <v>1.7799999999999998</v>
      </c>
      <c r="N155" s="5" t="s">
        <v>2</v>
      </c>
      <c r="O155" s="5" t="s">
        <v>2</v>
      </c>
      <c r="P155" s="6">
        <v>13.11</v>
      </c>
      <c r="Q155" s="5" t="s">
        <v>2</v>
      </c>
      <c r="R155" s="18" t="s">
        <v>2</v>
      </c>
      <c r="S155" s="18" t="s">
        <v>2</v>
      </c>
      <c r="T155" s="12">
        <v>1.7</v>
      </c>
      <c r="U155" s="13">
        <f t="shared" si="19"/>
        <v>16.59</v>
      </c>
      <c r="V155" s="19" t="s">
        <v>3</v>
      </c>
      <c r="X155" s="3">
        <f t="shared" si="20"/>
        <v>1.7</v>
      </c>
    </row>
    <row r="156" spans="1:24" hidden="1" x14ac:dyDescent="0.25">
      <c r="A156" s="5" t="s">
        <v>243</v>
      </c>
      <c r="B156" s="18" t="s">
        <v>141</v>
      </c>
      <c r="C156" s="20" t="str">
        <f t="shared" si="16"/>
        <v>21</v>
      </c>
      <c r="D156" s="20" t="str">
        <f t="shared" si="17"/>
        <v>04</v>
      </c>
      <c r="E156" s="19" t="s">
        <v>21</v>
      </c>
      <c r="F156" s="19" t="s">
        <v>22</v>
      </c>
      <c r="G156" s="4" t="str">
        <f t="shared" si="18"/>
        <v>21/04/2021</v>
      </c>
      <c r="H156" s="19" t="s">
        <v>1</v>
      </c>
      <c r="I156" s="19" t="s">
        <v>0</v>
      </c>
      <c r="J156" s="5" t="s">
        <v>375</v>
      </c>
      <c r="K156" s="5" t="s">
        <v>55</v>
      </c>
      <c r="L156" s="22" t="str">
        <f>+VLOOKUP(K156,'[2]BASE DE PROVEEDORES'!$A:$B,2,0)</f>
        <v xml:space="preserve">DISTRIBUIDORA DE LUBRICANTES Y COMBUSTIBLES S.A DE C.V </v>
      </c>
      <c r="M156" s="25">
        <f>2.9+1.45</f>
        <v>4.3499999999999996</v>
      </c>
      <c r="N156" s="5" t="s">
        <v>2</v>
      </c>
      <c r="O156" s="5" t="s">
        <v>2</v>
      </c>
      <c r="P156" s="6">
        <v>31.74</v>
      </c>
      <c r="Q156" s="5" t="s">
        <v>2</v>
      </c>
      <c r="R156" s="18" t="s">
        <v>2</v>
      </c>
      <c r="S156" s="18" t="s">
        <v>2</v>
      </c>
      <c r="T156" s="12">
        <v>4.13</v>
      </c>
      <c r="U156" s="13">
        <f t="shared" si="19"/>
        <v>40.22</v>
      </c>
      <c r="V156" s="19" t="s">
        <v>3</v>
      </c>
      <c r="X156" s="3">
        <f t="shared" si="20"/>
        <v>4.13</v>
      </c>
    </row>
    <row r="157" spans="1:24" hidden="1" x14ac:dyDescent="0.25">
      <c r="A157" s="5" t="s">
        <v>243</v>
      </c>
      <c r="B157" s="18" t="s">
        <v>141</v>
      </c>
      <c r="C157" s="20" t="str">
        <f t="shared" si="16"/>
        <v>21</v>
      </c>
      <c r="D157" s="20" t="str">
        <f t="shared" si="17"/>
        <v>04</v>
      </c>
      <c r="E157" s="19" t="s">
        <v>21</v>
      </c>
      <c r="F157" s="19" t="s">
        <v>22</v>
      </c>
      <c r="G157" s="4" t="str">
        <f t="shared" si="18"/>
        <v>21/04/2021</v>
      </c>
      <c r="H157" s="19" t="s">
        <v>1</v>
      </c>
      <c r="I157" s="19" t="s">
        <v>0</v>
      </c>
      <c r="J157" s="5" t="s">
        <v>380</v>
      </c>
      <c r="K157" s="5" t="s">
        <v>55</v>
      </c>
      <c r="L157" s="22" t="str">
        <f>+VLOOKUP(K157,'[2]BASE DE PROVEEDORES'!$A:$B,2,0)</f>
        <v xml:space="preserve">DISTRIBUIDORA DE LUBRICANTES Y COMBUSTIBLES S.A DE C.V </v>
      </c>
      <c r="M157" s="25">
        <f>3.17+1.59</f>
        <v>4.76</v>
      </c>
      <c r="N157" s="5" t="s">
        <v>2</v>
      </c>
      <c r="O157" s="5" t="s">
        <v>2</v>
      </c>
      <c r="P157" s="6">
        <v>34.69</v>
      </c>
      <c r="Q157" s="5" t="s">
        <v>2</v>
      </c>
      <c r="R157" s="18" t="s">
        <v>2</v>
      </c>
      <c r="S157" s="18" t="s">
        <v>2</v>
      </c>
      <c r="T157" s="12">
        <v>4.51</v>
      </c>
      <c r="U157" s="13">
        <f t="shared" si="19"/>
        <v>43.959999999999994</v>
      </c>
      <c r="V157" s="19" t="s">
        <v>3</v>
      </c>
      <c r="X157" s="3">
        <f t="shared" si="20"/>
        <v>4.51</v>
      </c>
    </row>
    <row r="158" spans="1:24" hidden="1" x14ac:dyDescent="0.25">
      <c r="A158" s="5" t="s">
        <v>243</v>
      </c>
      <c r="B158" s="18" t="s">
        <v>237</v>
      </c>
      <c r="C158" s="20" t="str">
        <f t="shared" si="16"/>
        <v>22</v>
      </c>
      <c r="D158" s="20" t="str">
        <f t="shared" si="17"/>
        <v>04</v>
      </c>
      <c r="E158" s="19" t="s">
        <v>21</v>
      </c>
      <c r="F158" s="19" t="s">
        <v>22</v>
      </c>
      <c r="G158" s="4" t="str">
        <f t="shared" si="18"/>
        <v>22/04/2021</v>
      </c>
      <c r="H158" s="19" t="s">
        <v>1</v>
      </c>
      <c r="I158" s="19" t="s">
        <v>0</v>
      </c>
      <c r="J158" s="5" t="s">
        <v>341</v>
      </c>
      <c r="K158" s="5" t="s">
        <v>55</v>
      </c>
      <c r="L158" s="22" t="str">
        <f>+VLOOKUP(K158,'[2]BASE DE PROVEEDORES'!$A:$B,2,0)</f>
        <v xml:space="preserve">DISTRIBUIDORA DE LUBRICANTES Y COMBUSTIBLES S.A DE C.V </v>
      </c>
      <c r="M158" s="25">
        <f>20.8+10.4</f>
        <v>31.200000000000003</v>
      </c>
      <c r="N158" s="5" t="s">
        <v>2</v>
      </c>
      <c r="O158" s="5" t="s">
        <v>2</v>
      </c>
      <c r="P158" s="6">
        <v>227.44</v>
      </c>
      <c r="Q158" s="5" t="s">
        <v>2</v>
      </c>
      <c r="R158" s="18" t="s">
        <v>2</v>
      </c>
      <c r="S158" s="18" t="s">
        <v>2</v>
      </c>
      <c r="T158" s="12">
        <v>29.57</v>
      </c>
      <c r="U158" s="13">
        <f t="shared" si="19"/>
        <v>288.20999999999998</v>
      </c>
      <c r="V158" s="19" t="s">
        <v>3</v>
      </c>
      <c r="X158" s="3">
        <f t="shared" si="20"/>
        <v>29.57</v>
      </c>
    </row>
    <row r="159" spans="1:24" hidden="1" x14ac:dyDescent="0.25">
      <c r="A159" s="5" t="s">
        <v>243</v>
      </c>
      <c r="B159" s="18" t="s">
        <v>237</v>
      </c>
      <c r="C159" s="20" t="str">
        <f t="shared" si="16"/>
        <v>22</v>
      </c>
      <c r="D159" s="20" t="str">
        <f t="shared" si="17"/>
        <v>04</v>
      </c>
      <c r="E159" s="19" t="s">
        <v>21</v>
      </c>
      <c r="F159" s="19" t="s">
        <v>22</v>
      </c>
      <c r="G159" s="4" t="str">
        <f t="shared" si="18"/>
        <v>22/04/2021</v>
      </c>
      <c r="H159" s="19" t="s">
        <v>1</v>
      </c>
      <c r="I159" s="19" t="s">
        <v>0</v>
      </c>
      <c r="J159" s="5" t="s">
        <v>353</v>
      </c>
      <c r="K159" s="5" t="s">
        <v>55</v>
      </c>
      <c r="L159" s="22" t="str">
        <f>+VLOOKUP(K159,'[2]BASE DE PROVEEDORES'!$A:$B,2,0)</f>
        <v xml:space="preserve">DISTRIBUIDORA DE LUBRICANTES Y COMBUSTIBLES S.A DE C.V </v>
      </c>
      <c r="M159" s="25">
        <f>9.67+4.83</f>
        <v>14.5</v>
      </c>
      <c r="N159" s="5" t="s">
        <v>2</v>
      </c>
      <c r="O159" s="5" t="s">
        <v>2</v>
      </c>
      <c r="P159" s="6">
        <v>105.76</v>
      </c>
      <c r="Q159" s="5" t="s">
        <v>2</v>
      </c>
      <c r="R159" s="18" t="s">
        <v>2</v>
      </c>
      <c r="S159" s="18" t="s">
        <v>2</v>
      </c>
      <c r="T159" s="12">
        <v>13.75</v>
      </c>
      <c r="U159" s="13">
        <f t="shared" si="19"/>
        <v>134.01</v>
      </c>
      <c r="V159" s="19" t="s">
        <v>3</v>
      </c>
      <c r="X159" s="3">
        <f t="shared" si="20"/>
        <v>13.75</v>
      </c>
    </row>
    <row r="160" spans="1:24" hidden="1" x14ac:dyDescent="0.25">
      <c r="A160" s="5" t="s">
        <v>243</v>
      </c>
      <c r="B160" s="18" t="s">
        <v>237</v>
      </c>
      <c r="C160" s="20" t="str">
        <f t="shared" si="16"/>
        <v>22</v>
      </c>
      <c r="D160" s="20" t="str">
        <f t="shared" si="17"/>
        <v>04</v>
      </c>
      <c r="E160" s="19" t="s">
        <v>21</v>
      </c>
      <c r="F160" s="19" t="s">
        <v>22</v>
      </c>
      <c r="G160" s="4" t="str">
        <f t="shared" si="18"/>
        <v>22/04/2021</v>
      </c>
      <c r="H160" s="19" t="s">
        <v>1</v>
      </c>
      <c r="I160" s="19" t="s">
        <v>0</v>
      </c>
      <c r="J160" s="5" t="s">
        <v>368</v>
      </c>
      <c r="K160" s="5" t="s">
        <v>55</v>
      </c>
      <c r="L160" s="22" t="str">
        <f>+VLOOKUP(K160,'[2]BASE DE PROVEEDORES'!$A:$B,2,0)</f>
        <v xml:space="preserve">DISTRIBUIDORA DE LUBRICANTES Y COMBUSTIBLES S.A DE C.V </v>
      </c>
      <c r="M160" s="25">
        <f>29.92+14.96</f>
        <v>44.88</v>
      </c>
      <c r="N160" s="5" t="s">
        <v>2</v>
      </c>
      <c r="O160" s="5" t="s">
        <v>2</v>
      </c>
      <c r="P160" s="6">
        <v>327.17</v>
      </c>
      <c r="Q160" s="5" t="s">
        <v>2</v>
      </c>
      <c r="R160" s="18" t="s">
        <v>2</v>
      </c>
      <c r="S160" s="18" t="s">
        <v>2</v>
      </c>
      <c r="T160" s="12">
        <v>42.53</v>
      </c>
      <c r="U160" s="13">
        <f t="shared" si="19"/>
        <v>414.58000000000004</v>
      </c>
      <c r="V160" s="19" t="s">
        <v>3</v>
      </c>
      <c r="X160" s="3">
        <f t="shared" si="20"/>
        <v>42.53</v>
      </c>
    </row>
    <row r="161" spans="1:24" hidden="1" x14ac:dyDescent="0.25">
      <c r="A161" s="5" t="s">
        <v>243</v>
      </c>
      <c r="B161" s="18" t="s">
        <v>237</v>
      </c>
      <c r="C161" s="20" t="str">
        <f t="shared" si="16"/>
        <v>22</v>
      </c>
      <c r="D161" s="20" t="str">
        <f t="shared" si="17"/>
        <v>04</v>
      </c>
      <c r="E161" s="19" t="s">
        <v>21</v>
      </c>
      <c r="F161" s="19" t="s">
        <v>22</v>
      </c>
      <c r="G161" s="4" t="str">
        <f t="shared" si="18"/>
        <v>22/04/2021</v>
      </c>
      <c r="H161" s="19" t="s">
        <v>1</v>
      </c>
      <c r="I161" s="19" t="s">
        <v>0</v>
      </c>
      <c r="J161" s="5" t="s">
        <v>369</v>
      </c>
      <c r="K161" s="5" t="s">
        <v>55</v>
      </c>
      <c r="L161" s="22" t="str">
        <f>+VLOOKUP(K161,'[2]BASE DE PROVEEDORES'!$A:$B,2,0)</f>
        <v xml:space="preserve">DISTRIBUIDORA DE LUBRICANTES Y COMBUSTIBLES S.A DE C.V </v>
      </c>
      <c r="M161" s="25">
        <f>11.2+5.6</f>
        <v>16.799999999999997</v>
      </c>
      <c r="N161" s="5" t="s">
        <v>2</v>
      </c>
      <c r="O161" s="5" t="s">
        <v>2</v>
      </c>
      <c r="P161" s="6">
        <v>122.46</v>
      </c>
      <c r="Q161" s="5" t="s">
        <v>2</v>
      </c>
      <c r="R161" s="18" t="s">
        <v>2</v>
      </c>
      <c r="S161" s="18" t="s">
        <v>2</v>
      </c>
      <c r="T161" s="12">
        <v>15.92</v>
      </c>
      <c r="U161" s="13">
        <f t="shared" si="19"/>
        <v>155.17999999999998</v>
      </c>
      <c r="V161" s="19" t="s">
        <v>3</v>
      </c>
      <c r="X161" s="3">
        <f t="shared" si="20"/>
        <v>15.92</v>
      </c>
    </row>
    <row r="162" spans="1:24" hidden="1" x14ac:dyDescent="0.25">
      <c r="A162" s="5" t="s">
        <v>243</v>
      </c>
      <c r="B162" s="18" t="s">
        <v>366</v>
      </c>
      <c r="C162" s="20" t="str">
        <f t="shared" si="16"/>
        <v>23</v>
      </c>
      <c r="D162" s="20" t="str">
        <f t="shared" si="17"/>
        <v>04</v>
      </c>
      <c r="E162" s="19" t="s">
        <v>21</v>
      </c>
      <c r="F162" s="19" t="s">
        <v>22</v>
      </c>
      <c r="G162" s="4" t="str">
        <f t="shared" si="18"/>
        <v>23/04/2021</v>
      </c>
      <c r="H162" s="19" t="s">
        <v>1</v>
      </c>
      <c r="I162" s="19" t="s">
        <v>0</v>
      </c>
      <c r="J162" s="5" t="s">
        <v>367</v>
      </c>
      <c r="K162" s="5" t="s">
        <v>55</v>
      </c>
      <c r="L162" s="22" t="str">
        <f>+VLOOKUP(K162,'[2]BASE DE PROVEEDORES'!$A:$B,2,0)</f>
        <v xml:space="preserve">DISTRIBUIDORA DE LUBRICANTES Y COMBUSTIBLES S.A DE C.V </v>
      </c>
      <c r="M162" s="25">
        <f>14.6+7.3</f>
        <v>21.9</v>
      </c>
      <c r="N162" s="5" t="s">
        <v>2</v>
      </c>
      <c r="O162" s="5" t="s">
        <v>2</v>
      </c>
      <c r="P162" s="6">
        <v>159.63999999999999</v>
      </c>
      <c r="Q162" s="5" t="s">
        <v>2</v>
      </c>
      <c r="R162" s="18" t="s">
        <v>2</v>
      </c>
      <c r="S162" s="18" t="s">
        <v>2</v>
      </c>
      <c r="T162" s="12">
        <v>20.75</v>
      </c>
      <c r="U162" s="13">
        <f t="shared" si="19"/>
        <v>202.29</v>
      </c>
      <c r="V162" s="19" t="s">
        <v>3</v>
      </c>
      <c r="X162" s="3">
        <f t="shared" si="20"/>
        <v>20.75</v>
      </c>
    </row>
    <row r="163" spans="1:24" hidden="1" x14ac:dyDescent="0.25">
      <c r="A163" s="5" t="s">
        <v>243</v>
      </c>
      <c r="B163" s="18" t="s">
        <v>332</v>
      </c>
      <c r="C163" s="20" t="str">
        <f t="shared" ref="C163:C194" si="21">+LEFT(B163,2)</f>
        <v>24</v>
      </c>
      <c r="D163" s="20" t="str">
        <f t="shared" ref="D163:D194" si="22">+RIGHT(B163,2)</f>
        <v>04</v>
      </c>
      <c r="E163" s="19" t="s">
        <v>21</v>
      </c>
      <c r="F163" s="19" t="s">
        <v>22</v>
      </c>
      <c r="G163" s="4" t="str">
        <f t="shared" ref="G163:G194" si="23">+C163&amp;F163&amp;D163&amp;F163&amp;E163</f>
        <v>24/04/2021</v>
      </c>
      <c r="H163" s="19" t="s">
        <v>1</v>
      </c>
      <c r="I163" s="19" t="s">
        <v>0</v>
      </c>
      <c r="J163" s="5" t="s">
        <v>333</v>
      </c>
      <c r="K163" s="5" t="s">
        <v>55</v>
      </c>
      <c r="L163" s="22" t="str">
        <f>+VLOOKUP(K163,'[2]BASE DE PROVEEDORES'!$A:$B,2,0)</f>
        <v xml:space="preserve">DISTRIBUIDORA DE LUBRICANTES Y COMBUSTIBLES S.A DE C.V </v>
      </c>
      <c r="M163" s="25">
        <f>9.67+4.83</f>
        <v>14.5</v>
      </c>
      <c r="N163" s="5" t="s">
        <v>2</v>
      </c>
      <c r="O163" s="5" t="s">
        <v>2</v>
      </c>
      <c r="P163" s="6">
        <v>105.74</v>
      </c>
      <c r="Q163" s="5" t="s">
        <v>2</v>
      </c>
      <c r="R163" s="18" t="s">
        <v>2</v>
      </c>
      <c r="S163" s="18" t="s">
        <v>2</v>
      </c>
      <c r="T163" s="12">
        <v>13.75</v>
      </c>
      <c r="U163" s="13">
        <f t="shared" ref="U163:U194" si="24">+M163+P163+T163</f>
        <v>133.99</v>
      </c>
      <c r="V163" s="19" t="s">
        <v>3</v>
      </c>
      <c r="X163" s="3">
        <f t="shared" ref="X163:X194" si="25">+ROUND(T163,2)</f>
        <v>13.75</v>
      </c>
    </row>
    <row r="164" spans="1:24" hidden="1" x14ac:dyDescent="0.25">
      <c r="A164" s="5" t="s">
        <v>243</v>
      </c>
      <c r="B164" s="18" t="s">
        <v>332</v>
      </c>
      <c r="C164" s="20" t="str">
        <f t="shared" si="21"/>
        <v>24</v>
      </c>
      <c r="D164" s="20" t="str">
        <f t="shared" si="22"/>
        <v>04</v>
      </c>
      <c r="E164" s="19" t="s">
        <v>21</v>
      </c>
      <c r="F164" s="19" t="s">
        <v>22</v>
      </c>
      <c r="G164" s="4" t="str">
        <f t="shared" si="23"/>
        <v>24/04/2021</v>
      </c>
      <c r="H164" s="19" t="s">
        <v>1</v>
      </c>
      <c r="I164" s="19" t="s">
        <v>0</v>
      </c>
      <c r="J164" s="5" t="s">
        <v>351</v>
      </c>
      <c r="K164" s="5" t="s">
        <v>55</v>
      </c>
      <c r="L164" s="22" t="str">
        <f>+VLOOKUP(K164,'[2]BASE DE PROVEEDORES'!$A:$B,2,0)</f>
        <v xml:space="preserve">DISTRIBUIDORA DE LUBRICANTES Y COMBUSTIBLES S.A DE C.V </v>
      </c>
      <c r="M164" s="25">
        <f>12.42+6.21</f>
        <v>18.63</v>
      </c>
      <c r="N164" s="5" t="s">
        <v>2</v>
      </c>
      <c r="O164" s="5" t="s">
        <v>2</v>
      </c>
      <c r="P164" s="6">
        <v>135.81</v>
      </c>
      <c r="Q164" s="5" t="s">
        <v>2</v>
      </c>
      <c r="R164" s="18" t="s">
        <v>2</v>
      </c>
      <c r="S164" s="18" t="s">
        <v>2</v>
      </c>
      <c r="T164" s="12">
        <v>17.66</v>
      </c>
      <c r="U164" s="13">
        <f t="shared" si="24"/>
        <v>172.1</v>
      </c>
      <c r="V164" s="19" t="s">
        <v>3</v>
      </c>
      <c r="X164" s="3">
        <f t="shared" si="25"/>
        <v>17.66</v>
      </c>
    </row>
    <row r="165" spans="1:24" hidden="1" x14ac:dyDescent="0.25">
      <c r="A165" s="5" t="s">
        <v>243</v>
      </c>
      <c r="B165" s="18" t="s">
        <v>332</v>
      </c>
      <c r="C165" s="20" t="str">
        <f t="shared" si="21"/>
        <v>24</v>
      </c>
      <c r="D165" s="20" t="str">
        <f t="shared" si="22"/>
        <v>04</v>
      </c>
      <c r="E165" s="19" t="s">
        <v>21</v>
      </c>
      <c r="F165" s="19" t="s">
        <v>22</v>
      </c>
      <c r="G165" s="4" t="str">
        <f t="shared" si="23"/>
        <v>24/04/2021</v>
      </c>
      <c r="H165" s="19" t="s">
        <v>1</v>
      </c>
      <c r="I165" s="19" t="s">
        <v>0</v>
      </c>
      <c r="J165" s="5" t="s">
        <v>378</v>
      </c>
      <c r="K165" s="5" t="s">
        <v>55</v>
      </c>
      <c r="L165" s="22" t="str">
        <f>+VLOOKUP(K165,'[2]BASE DE PROVEEDORES'!$A:$B,2,0)</f>
        <v xml:space="preserve">DISTRIBUIDORA DE LUBRICANTES Y COMBUSTIBLES S.A DE C.V </v>
      </c>
      <c r="M165" s="25">
        <f>6.47+3.23</f>
        <v>9.6999999999999993</v>
      </c>
      <c r="N165" s="5" t="s">
        <v>2</v>
      </c>
      <c r="O165" s="5" t="s">
        <v>2</v>
      </c>
      <c r="P165" s="6">
        <v>70.8</v>
      </c>
      <c r="Q165" s="5" t="s">
        <v>2</v>
      </c>
      <c r="R165" s="18" t="s">
        <v>2</v>
      </c>
      <c r="S165" s="18" t="s">
        <v>2</v>
      </c>
      <c r="T165" s="12">
        <v>9.1999999999999993</v>
      </c>
      <c r="U165" s="13">
        <f t="shared" si="24"/>
        <v>89.7</v>
      </c>
      <c r="V165" s="19" t="s">
        <v>3</v>
      </c>
      <c r="X165" s="3">
        <f t="shared" si="25"/>
        <v>9.1999999999999993</v>
      </c>
    </row>
    <row r="166" spans="1:24" hidden="1" x14ac:dyDescent="0.25">
      <c r="A166" s="5" t="s">
        <v>243</v>
      </c>
      <c r="B166" s="18" t="s">
        <v>339</v>
      </c>
      <c r="C166" s="20" t="str">
        <f t="shared" si="21"/>
        <v>25</v>
      </c>
      <c r="D166" s="20" t="str">
        <f t="shared" si="22"/>
        <v>04</v>
      </c>
      <c r="E166" s="19" t="s">
        <v>21</v>
      </c>
      <c r="F166" s="19" t="s">
        <v>22</v>
      </c>
      <c r="G166" s="4" t="str">
        <f t="shared" si="23"/>
        <v>25/04/2021</v>
      </c>
      <c r="H166" s="19" t="s">
        <v>1</v>
      </c>
      <c r="I166" s="19" t="s">
        <v>0</v>
      </c>
      <c r="J166" s="5" t="s">
        <v>340</v>
      </c>
      <c r="K166" s="5" t="s">
        <v>55</v>
      </c>
      <c r="L166" s="22" t="str">
        <f>+VLOOKUP(K166,'[2]BASE DE PROVEEDORES'!$A:$B,2,0)</f>
        <v xml:space="preserve">DISTRIBUIDORA DE LUBRICANTES Y COMBUSTIBLES S.A DE C.V </v>
      </c>
      <c r="M166" s="25">
        <f>12.35+6.18</f>
        <v>18.53</v>
      </c>
      <c r="N166" s="5" t="s">
        <v>2</v>
      </c>
      <c r="O166" s="5" t="s">
        <v>2</v>
      </c>
      <c r="P166" s="6">
        <v>135.08000000000001</v>
      </c>
      <c r="Q166" s="5" t="s">
        <v>2</v>
      </c>
      <c r="R166" s="18" t="s">
        <v>2</v>
      </c>
      <c r="S166" s="18" t="s">
        <v>2</v>
      </c>
      <c r="T166" s="12">
        <v>17.559999999999999</v>
      </c>
      <c r="U166" s="13">
        <f t="shared" si="24"/>
        <v>171.17000000000002</v>
      </c>
      <c r="V166" s="19" t="s">
        <v>3</v>
      </c>
      <c r="X166" s="3">
        <f t="shared" si="25"/>
        <v>17.559999999999999</v>
      </c>
    </row>
    <row r="167" spans="1:24" hidden="1" x14ac:dyDescent="0.25">
      <c r="A167" s="5" t="s">
        <v>243</v>
      </c>
      <c r="B167" s="18" t="s">
        <v>150</v>
      </c>
      <c r="C167" s="20" t="str">
        <f t="shared" si="21"/>
        <v>26</v>
      </c>
      <c r="D167" s="20" t="str">
        <f t="shared" si="22"/>
        <v>04</v>
      </c>
      <c r="E167" s="19" t="s">
        <v>21</v>
      </c>
      <c r="F167" s="19" t="s">
        <v>22</v>
      </c>
      <c r="G167" s="4" t="str">
        <f t="shared" si="23"/>
        <v>26/04/2021</v>
      </c>
      <c r="H167" s="19" t="s">
        <v>1</v>
      </c>
      <c r="I167" s="19" t="s">
        <v>0</v>
      </c>
      <c r="J167" s="5" t="s">
        <v>337</v>
      </c>
      <c r="K167" s="5" t="s">
        <v>55</v>
      </c>
      <c r="L167" s="22" t="str">
        <f>+VLOOKUP(K167,'[2]BASE DE PROVEEDORES'!$A:$B,2,0)</f>
        <v xml:space="preserve">DISTRIBUIDORA DE LUBRICANTES Y COMBUSTIBLES S.A DE C.V </v>
      </c>
      <c r="M167" s="25">
        <f>2.63+1.31</f>
        <v>3.94</v>
      </c>
      <c r="N167" s="5" t="s">
        <v>2</v>
      </c>
      <c r="O167" s="5" t="s">
        <v>2</v>
      </c>
      <c r="P167" s="6">
        <v>28.85</v>
      </c>
      <c r="Q167" s="5" t="s">
        <v>2</v>
      </c>
      <c r="R167" s="18" t="s">
        <v>2</v>
      </c>
      <c r="S167" s="18" t="s">
        <v>2</v>
      </c>
      <c r="T167" s="12">
        <v>3.75</v>
      </c>
      <c r="U167" s="13">
        <f t="shared" si="24"/>
        <v>36.54</v>
      </c>
      <c r="V167" s="19" t="s">
        <v>3</v>
      </c>
      <c r="X167" s="3">
        <f t="shared" si="25"/>
        <v>3.75</v>
      </c>
    </row>
    <row r="168" spans="1:24" hidden="1" x14ac:dyDescent="0.25">
      <c r="A168" s="5" t="s">
        <v>243</v>
      </c>
      <c r="B168" s="18" t="s">
        <v>150</v>
      </c>
      <c r="C168" s="20" t="str">
        <f t="shared" si="21"/>
        <v>26</v>
      </c>
      <c r="D168" s="20" t="str">
        <f t="shared" si="22"/>
        <v>04</v>
      </c>
      <c r="E168" s="19" t="s">
        <v>21</v>
      </c>
      <c r="F168" s="19" t="s">
        <v>22</v>
      </c>
      <c r="G168" s="4" t="str">
        <f t="shared" si="23"/>
        <v>26/04/2021</v>
      </c>
      <c r="H168" s="19" t="s">
        <v>1</v>
      </c>
      <c r="I168" s="19" t="s">
        <v>0</v>
      </c>
      <c r="J168" s="5" t="s">
        <v>338</v>
      </c>
      <c r="K168" s="5" t="s">
        <v>55</v>
      </c>
      <c r="L168" s="22" t="str">
        <f>+VLOOKUP(K168,'[2]BASE DE PROVEEDORES'!$A:$B,2,0)</f>
        <v xml:space="preserve">DISTRIBUIDORA DE LUBRICANTES Y COMBUSTIBLES S.A DE C.V </v>
      </c>
      <c r="M168" s="25">
        <f>25.66+12.83</f>
        <v>38.49</v>
      </c>
      <c r="N168" s="5" t="s">
        <v>2</v>
      </c>
      <c r="O168" s="5" t="s">
        <v>2</v>
      </c>
      <c r="P168" s="6">
        <v>280.58</v>
      </c>
      <c r="Q168" s="5" t="s">
        <v>2</v>
      </c>
      <c r="R168" s="18" t="s">
        <v>2</v>
      </c>
      <c r="S168" s="18" t="s">
        <v>2</v>
      </c>
      <c r="T168" s="12">
        <v>36.479999999999997</v>
      </c>
      <c r="U168" s="13">
        <f t="shared" si="24"/>
        <v>355.55</v>
      </c>
      <c r="V168" s="19" t="s">
        <v>3</v>
      </c>
      <c r="X168" s="3">
        <f t="shared" si="25"/>
        <v>36.479999999999997</v>
      </c>
    </row>
    <row r="169" spans="1:24" hidden="1" x14ac:dyDescent="0.25">
      <c r="A169" s="5" t="s">
        <v>243</v>
      </c>
      <c r="B169" s="18" t="s">
        <v>150</v>
      </c>
      <c r="C169" s="20" t="str">
        <f t="shared" si="21"/>
        <v>26</v>
      </c>
      <c r="D169" s="20" t="str">
        <f t="shared" si="22"/>
        <v>04</v>
      </c>
      <c r="E169" s="19" t="s">
        <v>21</v>
      </c>
      <c r="F169" s="19" t="s">
        <v>22</v>
      </c>
      <c r="G169" s="4" t="str">
        <f t="shared" si="23"/>
        <v>26/04/2021</v>
      </c>
      <c r="H169" s="19" t="s">
        <v>1</v>
      </c>
      <c r="I169" s="19" t="s">
        <v>0</v>
      </c>
      <c r="J169" s="5" t="s">
        <v>347</v>
      </c>
      <c r="K169" s="5" t="s">
        <v>55</v>
      </c>
      <c r="L169" s="22" t="str">
        <f>+VLOOKUP(K169,'[2]BASE DE PROVEEDORES'!$A:$B,2,0)</f>
        <v xml:space="preserve">DISTRIBUIDORA DE LUBRICANTES Y COMBUSTIBLES S.A DE C.V </v>
      </c>
      <c r="M169" s="25">
        <f>8.21+4.1</f>
        <v>12.31</v>
      </c>
      <c r="N169" s="5" t="s">
        <v>2</v>
      </c>
      <c r="O169" s="5" t="s">
        <v>2</v>
      </c>
      <c r="P169" s="6">
        <v>89.87</v>
      </c>
      <c r="Q169" s="5" t="s">
        <v>2</v>
      </c>
      <c r="R169" s="18" t="s">
        <v>2</v>
      </c>
      <c r="S169" s="18" t="s">
        <v>2</v>
      </c>
      <c r="T169" s="12">
        <v>11.68</v>
      </c>
      <c r="U169" s="13">
        <f t="shared" si="24"/>
        <v>113.86000000000001</v>
      </c>
      <c r="V169" s="19" t="s">
        <v>3</v>
      </c>
      <c r="X169" s="3">
        <f t="shared" si="25"/>
        <v>11.68</v>
      </c>
    </row>
    <row r="170" spans="1:24" hidden="1" x14ac:dyDescent="0.25">
      <c r="A170" s="5" t="s">
        <v>243</v>
      </c>
      <c r="B170" s="18" t="s">
        <v>321</v>
      </c>
      <c r="C170" s="20" t="str">
        <f t="shared" si="21"/>
        <v>27</v>
      </c>
      <c r="D170" s="20" t="str">
        <f t="shared" si="22"/>
        <v>04</v>
      </c>
      <c r="E170" s="19" t="s">
        <v>21</v>
      </c>
      <c r="F170" s="19" t="s">
        <v>22</v>
      </c>
      <c r="G170" s="4" t="str">
        <f t="shared" si="23"/>
        <v>27/04/2021</v>
      </c>
      <c r="H170" s="19" t="s">
        <v>1</v>
      </c>
      <c r="I170" s="19" t="s">
        <v>0</v>
      </c>
      <c r="J170" s="5" t="s">
        <v>322</v>
      </c>
      <c r="K170" s="5" t="s">
        <v>55</v>
      </c>
      <c r="L170" s="22" t="str">
        <f>+VLOOKUP(K170,'[2]BASE DE PROVEEDORES'!$A:$B,2,0)</f>
        <v xml:space="preserve">DISTRIBUIDORA DE LUBRICANTES Y COMBUSTIBLES S.A DE C.V </v>
      </c>
      <c r="M170" s="25">
        <f>19.51+9.75</f>
        <v>29.26</v>
      </c>
      <c r="N170" s="5" t="s">
        <v>2</v>
      </c>
      <c r="O170" s="5" t="s">
        <v>2</v>
      </c>
      <c r="P170" s="6">
        <v>213.41</v>
      </c>
      <c r="Q170" s="5" t="s">
        <v>2</v>
      </c>
      <c r="R170" s="18" t="s">
        <v>2</v>
      </c>
      <c r="S170" s="18" t="s">
        <v>2</v>
      </c>
      <c r="T170" s="12">
        <v>27.74</v>
      </c>
      <c r="U170" s="13">
        <f t="shared" si="24"/>
        <v>270.40999999999997</v>
      </c>
      <c r="V170" s="19" t="s">
        <v>3</v>
      </c>
      <c r="X170" s="3">
        <f t="shared" si="25"/>
        <v>27.74</v>
      </c>
    </row>
    <row r="171" spans="1:24" hidden="1" x14ac:dyDescent="0.25">
      <c r="A171" s="5" t="s">
        <v>243</v>
      </c>
      <c r="B171" s="18" t="s">
        <v>321</v>
      </c>
      <c r="C171" s="20" t="str">
        <f t="shared" si="21"/>
        <v>27</v>
      </c>
      <c r="D171" s="20" t="str">
        <f t="shared" si="22"/>
        <v>04</v>
      </c>
      <c r="E171" s="19" t="s">
        <v>21</v>
      </c>
      <c r="F171" s="19" t="s">
        <v>22</v>
      </c>
      <c r="G171" s="4" t="str">
        <f t="shared" si="23"/>
        <v>27/04/2021</v>
      </c>
      <c r="H171" s="19" t="s">
        <v>1</v>
      </c>
      <c r="I171" s="19" t="s">
        <v>0</v>
      </c>
      <c r="J171" s="5" t="s">
        <v>334</v>
      </c>
      <c r="K171" s="5" t="s">
        <v>55</v>
      </c>
      <c r="L171" s="22" t="str">
        <f>+VLOOKUP(K171,'[2]BASE DE PROVEEDORES'!$A:$B,2,0)</f>
        <v xml:space="preserve">DISTRIBUIDORA DE LUBRICANTES Y COMBUSTIBLES S.A DE C.V </v>
      </c>
      <c r="M171" s="25">
        <f>17.69+8.84</f>
        <v>26.53</v>
      </c>
      <c r="N171" s="5" t="s">
        <v>2</v>
      </c>
      <c r="O171" s="5" t="s">
        <v>2</v>
      </c>
      <c r="P171" s="6">
        <v>193.44</v>
      </c>
      <c r="Q171" s="5" t="s">
        <v>2</v>
      </c>
      <c r="R171" s="18" t="s">
        <v>2</v>
      </c>
      <c r="S171" s="18" t="s">
        <v>2</v>
      </c>
      <c r="T171" s="12">
        <v>25.15</v>
      </c>
      <c r="U171" s="13">
        <f t="shared" si="24"/>
        <v>245.12</v>
      </c>
      <c r="V171" s="19" t="s">
        <v>3</v>
      </c>
      <c r="X171" s="3">
        <f t="shared" si="25"/>
        <v>25.15</v>
      </c>
    </row>
    <row r="172" spans="1:24" hidden="1" x14ac:dyDescent="0.25">
      <c r="A172" s="5" t="s">
        <v>243</v>
      </c>
      <c r="B172" s="18" t="s">
        <v>321</v>
      </c>
      <c r="C172" s="20" t="str">
        <f t="shared" si="21"/>
        <v>27</v>
      </c>
      <c r="D172" s="20" t="str">
        <f t="shared" si="22"/>
        <v>04</v>
      </c>
      <c r="E172" s="19" t="s">
        <v>21</v>
      </c>
      <c r="F172" s="19" t="s">
        <v>22</v>
      </c>
      <c r="G172" s="4" t="str">
        <f t="shared" si="23"/>
        <v>27/04/2021</v>
      </c>
      <c r="H172" s="19" t="s">
        <v>1</v>
      </c>
      <c r="I172" s="19" t="s">
        <v>0</v>
      </c>
      <c r="J172" s="5" t="s">
        <v>335</v>
      </c>
      <c r="K172" s="5" t="s">
        <v>55</v>
      </c>
      <c r="L172" s="22" t="str">
        <f>+VLOOKUP(K172,'[2]BASE DE PROVEEDORES'!$A:$B,2,0)</f>
        <v xml:space="preserve">DISTRIBUIDORA DE LUBRICANTES Y COMBUSTIBLES S.A DE C.V </v>
      </c>
      <c r="M172" s="25">
        <f>3.93+1.96</f>
        <v>5.8900000000000006</v>
      </c>
      <c r="N172" s="5" t="s">
        <v>2</v>
      </c>
      <c r="O172" s="5" t="s">
        <v>2</v>
      </c>
      <c r="P172" s="6">
        <v>42.99</v>
      </c>
      <c r="Q172" s="5" t="s">
        <v>2</v>
      </c>
      <c r="R172" s="18" t="s">
        <v>2</v>
      </c>
      <c r="S172" s="18" t="s">
        <v>2</v>
      </c>
      <c r="T172" s="12">
        <v>5.59</v>
      </c>
      <c r="U172" s="13">
        <f t="shared" si="24"/>
        <v>54.47</v>
      </c>
      <c r="V172" s="19" t="s">
        <v>3</v>
      </c>
      <c r="X172" s="3">
        <f t="shared" si="25"/>
        <v>5.59</v>
      </c>
    </row>
    <row r="173" spans="1:24" hidden="1" x14ac:dyDescent="0.25">
      <c r="A173" s="5" t="s">
        <v>243</v>
      </c>
      <c r="B173" s="18" t="s">
        <v>321</v>
      </c>
      <c r="C173" s="20" t="str">
        <f t="shared" si="21"/>
        <v>27</v>
      </c>
      <c r="D173" s="20" t="str">
        <f t="shared" si="22"/>
        <v>04</v>
      </c>
      <c r="E173" s="19" t="s">
        <v>21</v>
      </c>
      <c r="F173" s="19" t="s">
        <v>22</v>
      </c>
      <c r="G173" s="4" t="str">
        <f t="shared" si="23"/>
        <v>27/04/2021</v>
      </c>
      <c r="H173" s="19" t="s">
        <v>1</v>
      </c>
      <c r="I173" s="19" t="s">
        <v>0</v>
      </c>
      <c r="J173" s="5" t="s">
        <v>336</v>
      </c>
      <c r="K173" s="5" t="s">
        <v>55</v>
      </c>
      <c r="L173" s="22" t="str">
        <f>+VLOOKUP(K173,'[2]BASE DE PROVEEDORES'!$A:$B,2,0)</f>
        <v xml:space="preserve">DISTRIBUIDORA DE LUBRICANTES Y COMBUSTIBLES S.A DE C.V </v>
      </c>
      <c r="M173" s="25">
        <v>15</v>
      </c>
      <c r="N173" s="5" t="s">
        <v>2</v>
      </c>
      <c r="O173" s="5" t="s">
        <v>2</v>
      </c>
      <c r="P173" s="6">
        <v>109.34</v>
      </c>
      <c r="Q173" s="5" t="s">
        <v>2</v>
      </c>
      <c r="R173" s="18" t="s">
        <v>2</v>
      </c>
      <c r="S173" s="18" t="s">
        <v>2</v>
      </c>
      <c r="T173" s="12">
        <v>14.21</v>
      </c>
      <c r="U173" s="13">
        <f t="shared" si="24"/>
        <v>138.55000000000001</v>
      </c>
      <c r="V173" s="19" t="s">
        <v>3</v>
      </c>
      <c r="X173" s="3">
        <f t="shared" si="25"/>
        <v>14.21</v>
      </c>
    </row>
    <row r="174" spans="1:24" hidden="1" x14ac:dyDescent="0.25">
      <c r="A174" s="5" t="s">
        <v>243</v>
      </c>
      <c r="B174" s="18" t="s">
        <v>137</v>
      </c>
      <c r="C174" s="20" t="str">
        <f t="shared" si="21"/>
        <v>28</v>
      </c>
      <c r="D174" s="20" t="str">
        <f t="shared" si="22"/>
        <v>04</v>
      </c>
      <c r="E174" s="19" t="s">
        <v>21</v>
      </c>
      <c r="F174" s="19" t="s">
        <v>22</v>
      </c>
      <c r="G174" s="4" t="str">
        <f t="shared" si="23"/>
        <v>28/04/2021</v>
      </c>
      <c r="H174" s="19" t="s">
        <v>1</v>
      </c>
      <c r="I174" s="19" t="s">
        <v>0</v>
      </c>
      <c r="J174" s="5" t="s">
        <v>365</v>
      </c>
      <c r="K174" s="5" t="s">
        <v>55</v>
      </c>
      <c r="L174" s="22" t="str">
        <f>+VLOOKUP(K174,'[2]BASE DE PROVEEDORES'!$A:$B,2,0)</f>
        <v xml:space="preserve">DISTRIBUIDORA DE LUBRICANTES Y COMBUSTIBLES S.A DE C.V </v>
      </c>
      <c r="M174" s="25">
        <f>3.78+1.89</f>
        <v>5.67</v>
      </c>
      <c r="N174" s="5" t="s">
        <v>2</v>
      </c>
      <c r="O174" s="5" t="s">
        <v>2</v>
      </c>
      <c r="P174" s="6">
        <v>41.35</v>
      </c>
      <c r="Q174" s="5" t="s">
        <v>2</v>
      </c>
      <c r="R174" s="18" t="s">
        <v>2</v>
      </c>
      <c r="S174" s="18" t="s">
        <v>2</v>
      </c>
      <c r="T174" s="12">
        <v>5.38</v>
      </c>
      <c r="U174" s="13">
        <f t="shared" si="24"/>
        <v>52.400000000000006</v>
      </c>
      <c r="V174" s="19" t="s">
        <v>3</v>
      </c>
      <c r="X174" s="3">
        <f t="shared" si="25"/>
        <v>5.38</v>
      </c>
    </row>
    <row r="175" spans="1:24" hidden="1" x14ac:dyDescent="0.25">
      <c r="A175" s="5" t="s">
        <v>243</v>
      </c>
      <c r="B175" s="18" t="s">
        <v>137</v>
      </c>
      <c r="C175" s="20" t="str">
        <f t="shared" si="21"/>
        <v>28</v>
      </c>
      <c r="D175" s="20" t="str">
        <f t="shared" si="22"/>
        <v>04</v>
      </c>
      <c r="E175" s="19" t="s">
        <v>21</v>
      </c>
      <c r="F175" s="19" t="s">
        <v>22</v>
      </c>
      <c r="G175" s="4" t="str">
        <f t="shared" si="23"/>
        <v>28/04/2021</v>
      </c>
      <c r="H175" s="19" t="s">
        <v>1</v>
      </c>
      <c r="I175" s="19" t="s">
        <v>0</v>
      </c>
      <c r="J175" s="5" t="s">
        <v>450</v>
      </c>
      <c r="K175" s="5" t="s">
        <v>192</v>
      </c>
      <c r="L175" s="22" t="str">
        <f>+VLOOKUP(K175,'[2]BASE DE PROVEEDORES'!$A:$B,2,0)</f>
        <v>REPUESTOS NOE S.A DE C.V.</v>
      </c>
      <c r="M175" s="25">
        <v>0</v>
      </c>
      <c r="N175" s="5" t="s">
        <v>2</v>
      </c>
      <c r="O175" s="5" t="s">
        <v>2</v>
      </c>
      <c r="P175" s="6">
        <v>45</v>
      </c>
      <c r="Q175" s="5" t="s">
        <v>2</v>
      </c>
      <c r="R175" s="18" t="s">
        <v>2</v>
      </c>
      <c r="S175" s="18" t="s">
        <v>2</v>
      </c>
      <c r="T175" s="12">
        <v>5.85</v>
      </c>
      <c r="U175" s="13">
        <f t="shared" si="24"/>
        <v>50.85</v>
      </c>
      <c r="V175" s="19" t="s">
        <v>3</v>
      </c>
      <c r="X175" s="3">
        <f t="shared" si="25"/>
        <v>5.85</v>
      </c>
    </row>
    <row r="176" spans="1:24" hidden="1" x14ac:dyDescent="0.25">
      <c r="A176" s="5" t="s">
        <v>243</v>
      </c>
      <c r="B176" s="18" t="s">
        <v>173</v>
      </c>
      <c r="C176" s="20" t="str">
        <f t="shared" si="21"/>
        <v>29</v>
      </c>
      <c r="D176" s="20" t="str">
        <f t="shared" si="22"/>
        <v>04</v>
      </c>
      <c r="E176" s="19" t="s">
        <v>21</v>
      </c>
      <c r="F176" s="19" t="s">
        <v>22</v>
      </c>
      <c r="G176" s="4" t="str">
        <f t="shared" si="23"/>
        <v>29/04/2021</v>
      </c>
      <c r="H176" s="19" t="s">
        <v>1</v>
      </c>
      <c r="I176" s="19" t="s">
        <v>0</v>
      </c>
      <c r="J176" s="5" t="s">
        <v>319</v>
      </c>
      <c r="K176" s="5" t="s">
        <v>55</v>
      </c>
      <c r="L176" s="22" t="str">
        <f>+VLOOKUP(K176,'[2]BASE DE PROVEEDORES'!$A:$B,2,0)</f>
        <v xml:space="preserve">DISTRIBUIDORA DE LUBRICANTES Y COMBUSTIBLES S.A DE C.V </v>
      </c>
      <c r="M176" s="25">
        <f>5.03+2.51</f>
        <v>7.54</v>
      </c>
      <c r="N176" s="5" t="s">
        <v>2</v>
      </c>
      <c r="O176" s="5" t="s">
        <v>2</v>
      </c>
      <c r="P176" s="6">
        <v>54.98</v>
      </c>
      <c r="Q176" s="5" t="s">
        <v>2</v>
      </c>
      <c r="R176" s="18" t="s">
        <v>2</v>
      </c>
      <c r="S176" s="18" t="s">
        <v>2</v>
      </c>
      <c r="T176" s="12">
        <v>7.15</v>
      </c>
      <c r="U176" s="13">
        <f t="shared" si="24"/>
        <v>69.67</v>
      </c>
      <c r="V176" s="19" t="s">
        <v>3</v>
      </c>
      <c r="X176" s="3">
        <f t="shared" si="25"/>
        <v>7.15</v>
      </c>
    </row>
    <row r="177" spans="1:24" hidden="1" x14ac:dyDescent="0.25">
      <c r="A177" s="5" t="s">
        <v>243</v>
      </c>
      <c r="B177" s="18" t="s">
        <v>173</v>
      </c>
      <c r="C177" s="20" t="str">
        <f t="shared" si="21"/>
        <v>29</v>
      </c>
      <c r="D177" s="20" t="str">
        <f t="shared" si="22"/>
        <v>04</v>
      </c>
      <c r="E177" s="19" t="s">
        <v>21</v>
      </c>
      <c r="F177" s="19" t="s">
        <v>22</v>
      </c>
      <c r="G177" s="4" t="str">
        <f t="shared" si="23"/>
        <v>29/04/2021</v>
      </c>
      <c r="H177" s="19" t="s">
        <v>1</v>
      </c>
      <c r="I177" s="19" t="s">
        <v>0</v>
      </c>
      <c r="J177" s="5" t="s">
        <v>324</v>
      </c>
      <c r="K177" s="5" t="s">
        <v>55</v>
      </c>
      <c r="L177" s="22" t="str">
        <f>+VLOOKUP(K177,'[2]BASE DE PROVEEDORES'!$A:$B,2,0)</f>
        <v xml:space="preserve">DISTRIBUIDORA DE LUBRICANTES Y COMBUSTIBLES S.A DE C.V </v>
      </c>
      <c r="M177" s="25">
        <f>29+14.5</f>
        <v>43.5</v>
      </c>
      <c r="N177" s="5" t="s">
        <v>2</v>
      </c>
      <c r="O177" s="5" t="s">
        <v>2</v>
      </c>
      <c r="P177" s="6">
        <v>317.08999999999997</v>
      </c>
      <c r="Q177" s="5" t="s">
        <v>2</v>
      </c>
      <c r="R177" s="18" t="s">
        <v>2</v>
      </c>
      <c r="S177" s="18" t="s">
        <v>2</v>
      </c>
      <c r="T177" s="12">
        <v>41.22</v>
      </c>
      <c r="U177" s="13">
        <f t="shared" si="24"/>
        <v>401.80999999999995</v>
      </c>
      <c r="V177" s="19" t="s">
        <v>3</v>
      </c>
      <c r="X177" s="3">
        <f t="shared" si="25"/>
        <v>41.22</v>
      </c>
    </row>
    <row r="178" spans="1:24" hidden="1" x14ac:dyDescent="0.25">
      <c r="A178" s="5" t="s">
        <v>243</v>
      </c>
      <c r="B178" s="18" t="s">
        <v>173</v>
      </c>
      <c r="C178" s="20" t="str">
        <f t="shared" si="21"/>
        <v>29</v>
      </c>
      <c r="D178" s="20" t="str">
        <f t="shared" si="22"/>
        <v>04</v>
      </c>
      <c r="E178" s="19" t="s">
        <v>21</v>
      </c>
      <c r="F178" s="19" t="s">
        <v>22</v>
      </c>
      <c r="G178" s="4" t="str">
        <f t="shared" si="23"/>
        <v>29/04/2021</v>
      </c>
      <c r="H178" s="19" t="s">
        <v>1</v>
      </c>
      <c r="I178" s="19" t="s">
        <v>0</v>
      </c>
      <c r="J178" s="5" t="s">
        <v>343</v>
      </c>
      <c r="K178" s="5" t="s">
        <v>55</v>
      </c>
      <c r="L178" s="22" t="str">
        <f>+VLOOKUP(K178,'[2]BASE DE PROVEEDORES'!$A:$B,2,0)</f>
        <v xml:space="preserve">DISTRIBUIDORA DE LUBRICANTES Y COMBUSTIBLES S.A DE C.V </v>
      </c>
      <c r="M178" s="25">
        <f>10.43+5.21</f>
        <v>15.64</v>
      </c>
      <c r="N178" s="5" t="s">
        <v>2</v>
      </c>
      <c r="O178" s="5" t="s">
        <v>2</v>
      </c>
      <c r="P178" s="6">
        <v>114.06</v>
      </c>
      <c r="Q178" s="5" t="s">
        <v>2</v>
      </c>
      <c r="R178" s="18" t="s">
        <v>2</v>
      </c>
      <c r="S178" s="18" t="s">
        <v>2</v>
      </c>
      <c r="T178" s="12">
        <v>14.83</v>
      </c>
      <c r="U178" s="13">
        <f t="shared" si="24"/>
        <v>144.53</v>
      </c>
      <c r="V178" s="19" t="s">
        <v>3</v>
      </c>
      <c r="X178" s="3">
        <f t="shared" si="25"/>
        <v>14.83</v>
      </c>
    </row>
    <row r="179" spans="1:24" hidden="1" x14ac:dyDescent="0.25">
      <c r="A179" s="5" t="s">
        <v>243</v>
      </c>
      <c r="B179" s="18" t="s">
        <v>173</v>
      </c>
      <c r="C179" s="20" t="str">
        <f t="shared" si="21"/>
        <v>29</v>
      </c>
      <c r="D179" s="20" t="str">
        <f t="shared" si="22"/>
        <v>04</v>
      </c>
      <c r="E179" s="19" t="s">
        <v>21</v>
      </c>
      <c r="F179" s="19" t="s">
        <v>22</v>
      </c>
      <c r="G179" s="4" t="str">
        <f t="shared" si="23"/>
        <v>29/04/2021</v>
      </c>
      <c r="H179" s="19" t="s">
        <v>1</v>
      </c>
      <c r="I179" s="19" t="s">
        <v>0</v>
      </c>
      <c r="J179" s="5" t="s">
        <v>379</v>
      </c>
      <c r="K179" s="5" t="s">
        <v>55</v>
      </c>
      <c r="L179" s="22" t="str">
        <f>+VLOOKUP(K179,'[2]BASE DE PROVEEDORES'!$A:$B,2,0)</f>
        <v xml:space="preserve">DISTRIBUIDORA DE LUBRICANTES Y COMBUSTIBLES S.A DE C.V </v>
      </c>
      <c r="M179" s="25">
        <f>14.79+7.39</f>
        <v>22.18</v>
      </c>
      <c r="N179" s="5" t="s">
        <v>2</v>
      </c>
      <c r="O179" s="5" t="s">
        <v>2</v>
      </c>
      <c r="P179" s="6">
        <v>161.72</v>
      </c>
      <c r="Q179" s="5" t="s">
        <v>2</v>
      </c>
      <c r="R179" s="18" t="s">
        <v>2</v>
      </c>
      <c r="S179" s="18" t="s">
        <v>2</v>
      </c>
      <c r="T179" s="12">
        <v>21.02</v>
      </c>
      <c r="U179" s="13">
        <f t="shared" si="24"/>
        <v>204.92000000000002</v>
      </c>
      <c r="V179" s="19" t="s">
        <v>3</v>
      </c>
      <c r="X179" s="3">
        <f t="shared" si="25"/>
        <v>21.02</v>
      </c>
    </row>
    <row r="180" spans="1:24" hidden="1" x14ac:dyDescent="0.25">
      <c r="A180" s="5" t="s">
        <v>243</v>
      </c>
      <c r="B180" s="18" t="s">
        <v>173</v>
      </c>
      <c r="C180" s="20" t="str">
        <f t="shared" si="21"/>
        <v>29</v>
      </c>
      <c r="D180" s="20" t="str">
        <f t="shared" si="22"/>
        <v>04</v>
      </c>
      <c r="E180" s="19" t="s">
        <v>21</v>
      </c>
      <c r="F180" s="19" t="s">
        <v>22</v>
      </c>
      <c r="G180" s="4" t="str">
        <f t="shared" si="23"/>
        <v>29/04/2021</v>
      </c>
      <c r="H180" s="19" t="s">
        <v>1</v>
      </c>
      <c r="I180" s="19" t="s">
        <v>0</v>
      </c>
      <c r="J180" s="5" t="s">
        <v>381</v>
      </c>
      <c r="K180" s="5" t="s">
        <v>55</v>
      </c>
      <c r="L180" s="22" t="str">
        <f>+VLOOKUP(K180,'[2]BASE DE PROVEEDORES'!$A:$B,2,0)</f>
        <v xml:space="preserve">DISTRIBUIDORA DE LUBRICANTES Y COMBUSTIBLES S.A DE C.V </v>
      </c>
      <c r="M180" s="25">
        <f>11.16+5.58</f>
        <v>16.740000000000002</v>
      </c>
      <c r="N180" s="5" t="s">
        <v>2</v>
      </c>
      <c r="O180" s="5" t="s">
        <v>2</v>
      </c>
      <c r="P180" s="6">
        <v>122.02</v>
      </c>
      <c r="Q180" s="5" t="s">
        <v>2</v>
      </c>
      <c r="R180" s="18" t="s">
        <v>2</v>
      </c>
      <c r="S180" s="18" t="s">
        <v>2</v>
      </c>
      <c r="T180" s="12">
        <v>15.86</v>
      </c>
      <c r="U180" s="13">
        <f t="shared" si="24"/>
        <v>154.62</v>
      </c>
      <c r="V180" s="19" t="s">
        <v>3</v>
      </c>
      <c r="X180" s="3">
        <f t="shared" si="25"/>
        <v>15.86</v>
      </c>
    </row>
    <row r="181" spans="1:24" hidden="1" x14ac:dyDescent="0.25">
      <c r="A181" s="5" t="s">
        <v>243</v>
      </c>
      <c r="B181" s="18" t="s">
        <v>170</v>
      </c>
      <c r="C181" s="20" t="str">
        <f t="shared" si="21"/>
        <v>30</v>
      </c>
      <c r="D181" s="20" t="str">
        <f t="shared" si="22"/>
        <v>04</v>
      </c>
      <c r="E181" s="19" t="s">
        <v>21</v>
      </c>
      <c r="F181" s="19" t="s">
        <v>22</v>
      </c>
      <c r="G181" s="4" t="str">
        <f t="shared" si="23"/>
        <v>30/04/2021</v>
      </c>
      <c r="H181" s="19" t="s">
        <v>1</v>
      </c>
      <c r="I181" s="19" t="s">
        <v>0</v>
      </c>
      <c r="J181" s="5" t="s">
        <v>311</v>
      </c>
      <c r="K181" s="5" t="s">
        <v>55</v>
      </c>
      <c r="L181" s="22" t="str">
        <f>+VLOOKUP(K181,'[2]BASE DE PROVEEDORES'!$A:$B,2,0)</f>
        <v xml:space="preserve">DISTRIBUIDORA DE LUBRICANTES Y COMBUSTIBLES S.A DE C.V </v>
      </c>
      <c r="M181" s="25">
        <f>1.32+0.66</f>
        <v>1.98</v>
      </c>
      <c r="N181" s="5" t="s">
        <v>2</v>
      </c>
      <c r="O181" s="5" t="s">
        <v>2</v>
      </c>
      <c r="P181" s="6">
        <v>14.43</v>
      </c>
      <c r="Q181" s="5" t="s">
        <v>2</v>
      </c>
      <c r="R181" s="18" t="s">
        <v>2</v>
      </c>
      <c r="S181" s="18" t="s">
        <v>2</v>
      </c>
      <c r="T181" s="12">
        <v>1.88</v>
      </c>
      <c r="U181" s="13">
        <f t="shared" si="24"/>
        <v>18.29</v>
      </c>
      <c r="V181" s="19" t="s">
        <v>3</v>
      </c>
      <c r="X181" s="3">
        <f t="shared" si="25"/>
        <v>1.88</v>
      </c>
    </row>
    <row r="182" spans="1:24" hidden="1" x14ac:dyDescent="0.25">
      <c r="A182" s="5" t="s">
        <v>243</v>
      </c>
      <c r="B182" s="18" t="s">
        <v>170</v>
      </c>
      <c r="C182" s="20" t="str">
        <f t="shared" si="21"/>
        <v>30</v>
      </c>
      <c r="D182" s="20" t="str">
        <f t="shared" si="22"/>
        <v>04</v>
      </c>
      <c r="E182" s="19" t="s">
        <v>21</v>
      </c>
      <c r="F182" s="19" t="s">
        <v>22</v>
      </c>
      <c r="G182" s="4" t="str">
        <f t="shared" si="23"/>
        <v>30/04/2021</v>
      </c>
      <c r="H182" s="19" t="s">
        <v>1</v>
      </c>
      <c r="I182" s="19" t="s">
        <v>0</v>
      </c>
      <c r="J182" s="5" t="s">
        <v>320</v>
      </c>
      <c r="K182" s="5" t="s">
        <v>55</v>
      </c>
      <c r="L182" s="22" t="str">
        <f>+VLOOKUP(K182,'[2]BASE DE PROVEEDORES'!$A:$B,2,0)</f>
        <v xml:space="preserve">DISTRIBUIDORA DE LUBRICANTES Y COMBUSTIBLES S.A DE C.V </v>
      </c>
      <c r="M182" s="25">
        <f>17.39+8.69</f>
        <v>26.08</v>
      </c>
      <c r="N182" s="5" t="s">
        <v>2</v>
      </c>
      <c r="O182" s="5" t="s">
        <v>2</v>
      </c>
      <c r="P182" s="6">
        <v>190.14</v>
      </c>
      <c r="Q182" s="5" t="s">
        <v>2</v>
      </c>
      <c r="R182" s="18" t="s">
        <v>2</v>
      </c>
      <c r="S182" s="18" t="s">
        <v>2</v>
      </c>
      <c r="T182" s="12">
        <v>24.72</v>
      </c>
      <c r="U182" s="13">
        <f t="shared" si="24"/>
        <v>240.93999999999997</v>
      </c>
      <c r="V182" s="19" t="s">
        <v>3</v>
      </c>
      <c r="X182" s="3">
        <f t="shared" si="25"/>
        <v>24.72</v>
      </c>
    </row>
    <row r="183" spans="1:24" hidden="1" x14ac:dyDescent="0.25">
      <c r="A183" s="5" t="s">
        <v>243</v>
      </c>
      <c r="B183" s="18" t="s">
        <v>308</v>
      </c>
      <c r="C183" s="20" t="str">
        <f t="shared" si="21"/>
        <v>01</v>
      </c>
      <c r="D183" s="20" t="str">
        <f t="shared" si="22"/>
        <v>05</v>
      </c>
      <c r="E183" s="19" t="s">
        <v>21</v>
      </c>
      <c r="F183" s="19" t="s">
        <v>22</v>
      </c>
      <c r="G183" s="4" t="str">
        <f t="shared" si="23"/>
        <v>01/05/2021</v>
      </c>
      <c r="H183" s="19" t="s">
        <v>1</v>
      </c>
      <c r="I183" s="19" t="s">
        <v>0</v>
      </c>
      <c r="J183" s="5" t="s">
        <v>309</v>
      </c>
      <c r="K183" s="5" t="s">
        <v>55</v>
      </c>
      <c r="L183" s="22" t="str">
        <f>+VLOOKUP(K183,'[2]BASE DE PROVEEDORES'!$A:$B,2,0)</f>
        <v xml:space="preserve">DISTRIBUIDORA DE LUBRICANTES Y COMBUSTIBLES S.A DE C.V </v>
      </c>
      <c r="M183" s="25">
        <f>8.8+4.4</f>
        <v>13.200000000000001</v>
      </c>
      <c r="N183" s="5" t="s">
        <v>2</v>
      </c>
      <c r="O183" s="5" t="s">
        <v>2</v>
      </c>
      <c r="P183" s="6">
        <v>96.22</v>
      </c>
      <c r="Q183" s="5" t="s">
        <v>2</v>
      </c>
      <c r="R183" s="18" t="s">
        <v>2</v>
      </c>
      <c r="S183" s="18" t="s">
        <v>2</v>
      </c>
      <c r="T183" s="12">
        <v>12.51</v>
      </c>
      <c r="U183" s="13">
        <f t="shared" si="24"/>
        <v>121.93</v>
      </c>
      <c r="V183" s="19" t="s">
        <v>3</v>
      </c>
      <c r="X183" s="3">
        <f t="shared" si="25"/>
        <v>12.51</v>
      </c>
    </row>
    <row r="184" spans="1:24" hidden="1" x14ac:dyDescent="0.25">
      <c r="A184" s="5" t="s">
        <v>243</v>
      </c>
      <c r="B184" s="18" t="s">
        <v>308</v>
      </c>
      <c r="C184" s="20" t="str">
        <f t="shared" si="21"/>
        <v>01</v>
      </c>
      <c r="D184" s="20" t="str">
        <f t="shared" si="22"/>
        <v>05</v>
      </c>
      <c r="E184" s="19" t="s">
        <v>21</v>
      </c>
      <c r="F184" s="19" t="s">
        <v>22</v>
      </c>
      <c r="G184" s="4" t="str">
        <f t="shared" si="23"/>
        <v>01/05/2021</v>
      </c>
      <c r="H184" s="19" t="s">
        <v>1</v>
      </c>
      <c r="I184" s="19" t="s">
        <v>0</v>
      </c>
      <c r="J184" s="5" t="s">
        <v>310</v>
      </c>
      <c r="K184" s="5" t="s">
        <v>55</v>
      </c>
      <c r="L184" s="22" t="str">
        <f>+VLOOKUP(K184,'[2]BASE DE PROVEEDORES'!$A:$B,2,0)</f>
        <v xml:space="preserve">DISTRIBUIDORA DE LUBRICANTES Y COMBUSTIBLES S.A DE C.V </v>
      </c>
      <c r="M184" s="25">
        <f>31.35+15.67</f>
        <v>47.02</v>
      </c>
      <c r="N184" s="5" t="s">
        <v>2</v>
      </c>
      <c r="O184" s="5" t="s">
        <v>2</v>
      </c>
      <c r="P184" s="6">
        <v>342.85</v>
      </c>
      <c r="Q184" s="5" t="s">
        <v>2</v>
      </c>
      <c r="R184" s="18" t="s">
        <v>2</v>
      </c>
      <c r="S184" s="18" t="s">
        <v>2</v>
      </c>
      <c r="T184" s="12">
        <v>44.57</v>
      </c>
      <c r="U184" s="13">
        <f t="shared" si="24"/>
        <v>434.44</v>
      </c>
      <c r="V184" s="19" t="s">
        <v>3</v>
      </c>
      <c r="X184" s="3">
        <f t="shared" si="25"/>
        <v>44.57</v>
      </c>
    </row>
    <row r="185" spans="1:24" hidden="1" x14ac:dyDescent="0.25">
      <c r="A185" s="5" t="s">
        <v>243</v>
      </c>
      <c r="B185" s="18" t="s">
        <v>308</v>
      </c>
      <c r="C185" s="20" t="str">
        <f t="shared" si="21"/>
        <v>01</v>
      </c>
      <c r="D185" s="20" t="str">
        <f t="shared" si="22"/>
        <v>05</v>
      </c>
      <c r="E185" s="19" t="s">
        <v>21</v>
      </c>
      <c r="F185" s="19" t="s">
        <v>22</v>
      </c>
      <c r="G185" s="4" t="str">
        <f t="shared" si="23"/>
        <v>01/05/2021</v>
      </c>
      <c r="H185" s="19" t="s">
        <v>1</v>
      </c>
      <c r="I185" s="19" t="s">
        <v>0</v>
      </c>
      <c r="J185" s="5" t="s">
        <v>323</v>
      </c>
      <c r="K185" s="5" t="s">
        <v>55</v>
      </c>
      <c r="L185" s="22" t="str">
        <f>+VLOOKUP(K185,'[2]BASE DE PROVEEDORES'!$A:$B,2,0)</f>
        <v xml:space="preserve">DISTRIBUIDORA DE LUBRICANTES Y COMBUSTIBLES S.A DE C.V </v>
      </c>
      <c r="M185" s="25">
        <f>11.8+5.9</f>
        <v>17.700000000000003</v>
      </c>
      <c r="N185" s="5" t="s">
        <v>2</v>
      </c>
      <c r="O185" s="5" t="s">
        <v>2</v>
      </c>
      <c r="P185" s="6">
        <v>129.03</v>
      </c>
      <c r="Q185" s="5" t="s">
        <v>2</v>
      </c>
      <c r="R185" s="18" t="s">
        <v>2</v>
      </c>
      <c r="S185" s="18" t="s">
        <v>2</v>
      </c>
      <c r="T185" s="12">
        <v>16.77</v>
      </c>
      <c r="U185" s="13">
        <f t="shared" si="24"/>
        <v>163.50000000000003</v>
      </c>
      <c r="V185" s="19" t="s">
        <v>3</v>
      </c>
      <c r="X185" s="3">
        <f t="shared" si="25"/>
        <v>16.77</v>
      </c>
    </row>
    <row r="186" spans="1:24" hidden="1" x14ac:dyDescent="0.25">
      <c r="A186" s="5" t="s">
        <v>243</v>
      </c>
      <c r="B186" s="18" t="s">
        <v>308</v>
      </c>
      <c r="C186" s="20" t="str">
        <f t="shared" si="21"/>
        <v>01</v>
      </c>
      <c r="D186" s="20" t="str">
        <f t="shared" si="22"/>
        <v>05</v>
      </c>
      <c r="E186" s="19" t="s">
        <v>21</v>
      </c>
      <c r="F186" s="19" t="s">
        <v>22</v>
      </c>
      <c r="G186" s="4" t="str">
        <f t="shared" si="23"/>
        <v>01/05/2021</v>
      </c>
      <c r="H186" s="19" t="s">
        <v>1</v>
      </c>
      <c r="I186" s="19" t="s">
        <v>0</v>
      </c>
      <c r="J186" s="5" t="s">
        <v>382</v>
      </c>
      <c r="K186" s="5" t="s">
        <v>27</v>
      </c>
      <c r="L186" s="22" t="str">
        <f>+VLOOKUP(K186,'[2]BASE DE PROVEEDORES'!$A:$B,2,0)</f>
        <v>LUIGEMI S.A DE C.V.</v>
      </c>
      <c r="M186" s="25">
        <f>2.37+1.18</f>
        <v>3.55</v>
      </c>
      <c r="N186" s="5" t="s">
        <v>2</v>
      </c>
      <c r="O186" s="5" t="s">
        <v>2</v>
      </c>
      <c r="P186" s="6">
        <v>26.61</v>
      </c>
      <c r="Q186" s="5" t="s">
        <v>2</v>
      </c>
      <c r="R186" s="18" t="s">
        <v>2</v>
      </c>
      <c r="S186" s="18" t="s">
        <v>2</v>
      </c>
      <c r="T186" s="12">
        <v>3.46</v>
      </c>
      <c r="U186" s="13">
        <f t="shared" si="24"/>
        <v>33.619999999999997</v>
      </c>
      <c r="V186" s="19" t="s">
        <v>3</v>
      </c>
      <c r="X186" s="3">
        <f t="shared" si="25"/>
        <v>3.46</v>
      </c>
    </row>
    <row r="187" spans="1:24" hidden="1" x14ac:dyDescent="0.25">
      <c r="A187" s="5" t="s">
        <v>243</v>
      </c>
      <c r="B187" s="18" t="s">
        <v>308</v>
      </c>
      <c r="C187" s="20" t="str">
        <f t="shared" si="21"/>
        <v>01</v>
      </c>
      <c r="D187" s="20" t="str">
        <f t="shared" si="22"/>
        <v>05</v>
      </c>
      <c r="E187" s="19" t="s">
        <v>21</v>
      </c>
      <c r="F187" s="19" t="s">
        <v>22</v>
      </c>
      <c r="G187" s="4" t="str">
        <f t="shared" si="23"/>
        <v>01/05/2021</v>
      </c>
      <c r="H187" s="19" t="s">
        <v>1</v>
      </c>
      <c r="I187" s="19" t="s">
        <v>0</v>
      </c>
      <c r="J187" s="5" t="s">
        <v>385</v>
      </c>
      <c r="K187" s="5" t="s">
        <v>386</v>
      </c>
      <c r="L187" s="22" t="str">
        <f>+VLOOKUP(K187,'[2]BASE DE PROVEEDORES'!$A:$B,2,0)</f>
        <v>LUIS ALFREDO VENTURA ELVIR</v>
      </c>
      <c r="M187" s="25">
        <f>0.85+0.42</f>
        <v>1.27</v>
      </c>
      <c r="N187" s="5" t="s">
        <v>2</v>
      </c>
      <c r="O187" s="5" t="s">
        <v>2</v>
      </c>
      <c r="P187" s="6">
        <v>9.81</v>
      </c>
      <c r="Q187" s="5" t="s">
        <v>2</v>
      </c>
      <c r="R187" s="18" t="s">
        <v>2</v>
      </c>
      <c r="S187" s="18" t="s">
        <v>2</v>
      </c>
      <c r="T187" s="12">
        <v>1.28</v>
      </c>
      <c r="U187" s="13">
        <f t="shared" si="24"/>
        <v>12.36</v>
      </c>
      <c r="V187" s="19" t="s">
        <v>3</v>
      </c>
      <c r="X187" s="3">
        <f t="shared" si="25"/>
        <v>1.28</v>
      </c>
    </row>
    <row r="188" spans="1:24" hidden="1" x14ac:dyDescent="0.25">
      <c r="A188" s="5" t="s">
        <v>243</v>
      </c>
      <c r="B188" s="18" t="s">
        <v>308</v>
      </c>
      <c r="C188" s="20" t="str">
        <f t="shared" si="21"/>
        <v>01</v>
      </c>
      <c r="D188" s="20" t="str">
        <f t="shared" si="22"/>
        <v>05</v>
      </c>
      <c r="E188" s="19" t="s">
        <v>21</v>
      </c>
      <c r="F188" s="19" t="s">
        <v>22</v>
      </c>
      <c r="G188" s="4" t="str">
        <f t="shared" si="23"/>
        <v>01/05/2021</v>
      </c>
      <c r="H188" s="19" t="s">
        <v>1</v>
      </c>
      <c r="I188" s="19" t="s">
        <v>0</v>
      </c>
      <c r="J188" s="5" t="s">
        <v>252</v>
      </c>
      <c r="K188" s="5" t="s">
        <v>55</v>
      </c>
      <c r="L188" s="22" t="str">
        <f>+VLOOKUP(K188,'[2]BASE DE PROVEEDORES'!$A:$B,2,0)</f>
        <v xml:space="preserve">DISTRIBUIDORA DE LUBRICANTES Y COMBUSTIBLES S.A DE C.V </v>
      </c>
      <c r="M188" s="25">
        <f>1.4+0.7</f>
        <v>2.0999999999999996</v>
      </c>
      <c r="N188" s="5" t="s">
        <v>2</v>
      </c>
      <c r="O188" s="5" t="s">
        <v>2</v>
      </c>
      <c r="P188" s="6">
        <v>16.760000000000002</v>
      </c>
      <c r="Q188" s="5" t="s">
        <v>2</v>
      </c>
      <c r="R188" s="18" t="s">
        <v>2</v>
      </c>
      <c r="S188" s="18" t="s">
        <v>2</v>
      </c>
      <c r="T188" s="12">
        <v>2.1800000000000002</v>
      </c>
      <c r="U188" s="13">
        <f t="shared" si="24"/>
        <v>21.04</v>
      </c>
      <c r="V188" s="19" t="s">
        <v>3</v>
      </c>
      <c r="X188" s="3">
        <f t="shared" si="25"/>
        <v>2.1800000000000002</v>
      </c>
    </row>
    <row r="189" spans="1:24" hidden="1" x14ac:dyDescent="0.25">
      <c r="A189" s="5" t="s">
        <v>243</v>
      </c>
      <c r="B189" s="18" t="s">
        <v>312</v>
      </c>
      <c r="C189" s="20" t="str">
        <f t="shared" si="21"/>
        <v>03</v>
      </c>
      <c r="D189" s="20" t="str">
        <f t="shared" si="22"/>
        <v>05</v>
      </c>
      <c r="E189" s="19" t="s">
        <v>21</v>
      </c>
      <c r="F189" s="19" t="s">
        <v>22</v>
      </c>
      <c r="G189" s="4" t="str">
        <f t="shared" si="23"/>
        <v>03/05/2021</v>
      </c>
      <c r="H189" s="19" t="s">
        <v>1</v>
      </c>
      <c r="I189" s="19" t="s">
        <v>0</v>
      </c>
      <c r="J189" s="5" t="s">
        <v>313</v>
      </c>
      <c r="K189" s="5" t="s">
        <v>55</v>
      </c>
      <c r="L189" s="22" t="str">
        <f>+VLOOKUP(K189,'[2]BASE DE PROVEEDORES'!$A:$B,2,0)</f>
        <v xml:space="preserve">DISTRIBUIDORA DE LUBRICANTES Y COMBUSTIBLES S.A DE C.V </v>
      </c>
      <c r="M189" s="25">
        <f>26.5+13.25</f>
        <v>39.75</v>
      </c>
      <c r="N189" s="5" t="s">
        <v>2</v>
      </c>
      <c r="O189" s="5" t="s">
        <v>2</v>
      </c>
      <c r="P189" s="6">
        <v>289.85000000000002</v>
      </c>
      <c r="Q189" s="5" t="s">
        <v>2</v>
      </c>
      <c r="R189" s="18" t="s">
        <v>2</v>
      </c>
      <c r="S189" s="18" t="s">
        <v>2</v>
      </c>
      <c r="T189" s="12">
        <v>37.68</v>
      </c>
      <c r="U189" s="13">
        <f t="shared" si="24"/>
        <v>367.28000000000003</v>
      </c>
      <c r="V189" s="19" t="s">
        <v>3</v>
      </c>
      <c r="X189" s="3">
        <f t="shared" si="25"/>
        <v>37.68</v>
      </c>
    </row>
    <row r="190" spans="1:24" hidden="1" x14ac:dyDescent="0.25">
      <c r="A190" s="5" t="s">
        <v>243</v>
      </c>
      <c r="B190" s="18" t="s">
        <v>312</v>
      </c>
      <c r="C190" s="20" t="str">
        <f t="shared" si="21"/>
        <v>03</v>
      </c>
      <c r="D190" s="20" t="str">
        <f t="shared" si="22"/>
        <v>05</v>
      </c>
      <c r="E190" s="19" t="s">
        <v>21</v>
      </c>
      <c r="F190" s="19" t="s">
        <v>22</v>
      </c>
      <c r="G190" s="4" t="str">
        <f t="shared" si="23"/>
        <v>03/05/2021</v>
      </c>
      <c r="H190" s="19" t="s">
        <v>1</v>
      </c>
      <c r="I190" s="19" t="s">
        <v>0</v>
      </c>
      <c r="J190" s="5" t="s">
        <v>424</v>
      </c>
      <c r="K190" s="5" t="s">
        <v>149</v>
      </c>
      <c r="L190" s="22" t="str">
        <f>+VLOOKUP(K190,'[2]BASE DE PROVEEDORES'!$A:$B,2,0)</f>
        <v>ALMACENES VIDRI, S.A DE C.V.</v>
      </c>
      <c r="M190" s="25">
        <v>0</v>
      </c>
      <c r="N190" s="5" t="s">
        <v>2</v>
      </c>
      <c r="O190" s="5" t="s">
        <v>2</v>
      </c>
      <c r="P190" s="6">
        <v>22.08</v>
      </c>
      <c r="Q190" s="5" t="s">
        <v>2</v>
      </c>
      <c r="R190" s="18" t="s">
        <v>2</v>
      </c>
      <c r="S190" s="18" t="s">
        <v>2</v>
      </c>
      <c r="T190" s="12">
        <v>2.87</v>
      </c>
      <c r="U190" s="13">
        <f t="shared" si="24"/>
        <v>24.95</v>
      </c>
      <c r="V190" s="19" t="s">
        <v>3</v>
      </c>
      <c r="X190" s="3">
        <f t="shared" si="25"/>
        <v>2.87</v>
      </c>
    </row>
    <row r="191" spans="1:24" hidden="1" x14ac:dyDescent="0.25">
      <c r="A191" s="5" t="s">
        <v>243</v>
      </c>
      <c r="B191" s="18" t="s">
        <v>312</v>
      </c>
      <c r="C191" s="20" t="str">
        <f t="shared" si="21"/>
        <v>03</v>
      </c>
      <c r="D191" s="20" t="str">
        <f t="shared" si="22"/>
        <v>05</v>
      </c>
      <c r="E191" s="19" t="s">
        <v>21</v>
      </c>
      <c r="F191" s="19" t="s">
        <v>22</v>
      </c>
      <c r="G191" s="4" t="str">
        <f t="shared" si="23"/>
        <v>03/05/2021</v>
      </c>
      <c r="H191" s="19" t="s">
        <v>1</v>
      </c>
      <c r="I191" s="19" t="s">
        <v>0</v>
      </c>
      <c r="J191" s="5" t="s">
        <v>433</v>
      </c>
      <c r="K191" s="5" t="s">
        <v>434</v>
      </c>
      <c r="L191" s="22" t="str">
        <f>+VLOOKUP(K191,'[2]BASE DE PROVEEDORES'!$A:$B,2,0)</f>
        <v xml:space="preserve">LA CASA DEL REPUESTO S.A DE C.V. </v>
      </c>
      <c r="M191" s="25">
        <v>0</v>
      </c>
      <c r="N191" s="5" t="s">
        <v>2</v>
      </c>
      <c r="O191" s="5" t="s">
        <v>2</v>
      </c>
      <c r="P191" s="6">
        <v>6.53</v>
      </c>
      <c r="Q191" s="5" t="s">
        <v>2</v>
      </c>
      <c r="R191" s="18" t="s">
        <v>2</v>
      </c>
      <c r="S191" s="18" t="s">
        <v>2</v>
      </c>
      <c r="T191" s="12">
        <v>0.85</v>
      </c>
      <c r="U191" s="13">
        <f t="shared" si="24"/>
        <v>7.38</v>
      </c>
      <c r="V191" s="19" t="s">
        <v>3</v>
      </c>
      <c r="X191" s="3">
        <f t="shared" si="25"/>
        <v>0.85</v>
      </c>
    </row>
    <row r="192" spans="1:24" hidden="1" x14ac:dyDescent="0.25">
      <c r="A192" s="5" t="s">
        <v>243</v>
      </c>
      <c r="B192" s="18" t="s">
        <v>282</v>
      </c>
      <c r="C192" s="20" t="str">
        <f t="shared" si="21"/>
        <v>04</v>
      </c>
      <c r="D192" s="20" t="str">
        <f t="shared" si="22"/>
        <v>05</v>
      </c>
      <c r="E192" s="19" t="s">
        <v>21</v>
      </c>
      <c r="F192" s="19" t="s">
        <v>22</v>
      </c>
      <c r="G192" s="4" t="str">
        <f t="shared" si="23"/>
        <v>04/05/2021</v>
      </c>
      <c r="H192" s="19" t="s">
        <v>1</v>
      </c>
      <c r="I192" s="19" t="s">
        <v>0</v>
      </c>
      <c r="J192" s="5" t="s">
        <v>283</v>
      </c>
      <c r="K192" s="5" t="s">
        <v>55</v>
      </c>
      <c r="L192" s="22" t="str">
        <f>+VLOOKUP(K192,'[2]BASE DE PROVEEDORES'!$A:$B,2,0)</f>
        <v xml:space="preserve">DISTRIBUIDORA DE LUBRICANTES Y COMBUSTIBLES S.A DE C.V </v>
      </c>
      <c r="M192" s="25">
        <f>3.6+1.8</f>
        <v>5.4</v>
      </c>
      <c r="N192" s="5" t="s">
        <v>2</v>
      </c>
      <c r="O192" s="5" t="s">
        <v>2</v>
      </c>
      <c r="P192" s="6">
        <v>40.17</v>
      </c>
      <c r="Q192" s="5" t="s">
        <v>2</v>
      </c>
      <c r="R192" s="18" t="s">
        <v>2</v>
      </c>
      <c r="S192" s="18" t="s">
        <v>2</v>
      </c>
      <c r="T192" s="12">
        <v>5.22</v>
      </c>
      <c r="U192" s="13">
        <f t="shared" si="24"/>
        <v>50.79</v>
      </c>
      <c r="V192" s="19" t="s">
        <v>3</v>
      </c>
      <c r="X192" s="3">
        <f t="shared" si="25"/>
        <v>5.22</v>
      </c>
    </row>
    <row r="193" spans="1:24" hidden="1" x14ac:dyDescent="0.25">
      <c r="A193" s="5" t="s">
        <v>243</v>
      </c>
      <c r="B193" s="18" t="s">
        <v>282</v>
      </c>
      <c r="C193" s="20" t="str">
        <f t="shared" si="21"/>
        <v>04</v>
      </c>
      <c r="D193" s="20" t="str">
        <f t="shared" si="22"/>
        <v>05</v>
      </c>
      <c r="E193" s="19" t="s">
        <v>21</v>
      </c>
      <c r="F193" s="19" t="s">
        <v>22</v>
      </c>
      <c r="G193" s="4" t="str">
        <f t="shared" si="23"/>
        <v>04/05/2021</v>
      </c>
      <c r="H193" s="19" t="s">
        <v>1</v>
      </c>
      <c r="I193" s="19" t="s">
        <v>0</v>
      </c>
      <c r="J193" s="5" t="s">
        <v>342</v>
      </c>
      <c r="K193" s="5" t="s">
        <v>55</v>
      </c>
      <c r="L193" s="22" t="str">
        <f>+VLOOKUP(K193,'[2]BASE DE PROVEEDORES'!$A:$B,2,0)</f>
        <v xml:space="preserve">DISTRIBUIDORA DE LUBRICANTES Y COMBUSTIBLES S.A DE C.V </v>
      </c>
      <c r="M193" s="25">
        <v>0.9</v>
      </c>
      <c r="N193" s="5" t="s">
        <v>2</v>
      </c>
      <c r="O193" s="5" t="s">
        <v>2</v>
      </c>
      <c r="P193" s="6">
        <v>8.36</v>
      </c>
      <c r="Q193" s="5" t="s">
        <v>2</v>
      </c>
      <c r="R193" s="18" t="s">
        <v>2</v>
      </c>
      <c r="S193" s="18" t="s">
        <v>2</v>
      </c>
      <c r="T193" s="12">
        <v>1.0900000000000001</v>
      </c>
      <c r="U193" s="13">
        <f t="shared" si="24"/>
        <v>10.35</v>
      </c>
      <c r="V193" s="19" t="s">
        <v>3</v>
      </c>
      <c r="X193" s="3">
        <f t="shared" si="25"/>
        <v>1.0900000000000001</v>
      </c>
    </row>
    <row r="194" spans="1:24" hidden="1" x14ac:dyDescent="0.25">
      <c r="A194" s="5" t="s">
        <v>243</v>
      </c>
      <c r="B194" s="18" t="s">
        <v>282</v>
      </c>
      <c r="C194" s="20" t="str">
        <f t="shared" si="21"/>
        <v>04</v>
      </c>
      <c r="D194" s="20" t="str">
        <f t="shared" si="22"/>
        <v>05</v>
      </c>
      <c r="E194" s="19" t="s">
        <v>21</v>
      </c>
      <c r="F194" s="19" t="s">
        <v>22</v>
      </c>
      <c r="G194" s="4" t="str">
        <f t="shared" si="23"/>
        <v>04/05/2021</v>
      </c>
      <c r="H194" s="19" t="s">
        <v>1</v>
      </c>
      <c r="I194" s="19" t="s">
        <v>0</v>
      </c>
      <c r="J194" s="5" t="s">
        <v>349</v>
      </c>
      <c r="K194" s="5" t="s">
        <v>55</v>
      </c>
      <c r="L194" s="22" t="str">
        <f>+VLOOKUP(K194,'[2]BASE DE PROVEEDORES'!$A:$B,2,0)</f>
        <v xml:space="preserve">DISTRIBUIDORA DE LUBRICANTES Y COMBUSTIBLES S.A DE C.V </v>
      </c>
      <c r="M194" s="25">
        <f>17.24+8.62</f>
        <v>25.86</v>
      </c>
      <c r="N194" s="5" t="s">
        <v>2</v>
      </c>
      <c r="O194" s="5" t="s">
        <v>2</v>
      </c>
      <c r="P194" s="6">
        <v>192.25</v>
      </c>
      <c r="Q194" s="5" t="s">
        <v>2</v>
      </c>
      <c r="R194" s="18" t="s">
        <v>2</v>
      </c>
      <c r="S194" s="18" t="s">
        <v>2</v>
      </c>
      <c r="T194" s="12">
        <v>24.99</v>
      </c>
      <c r="U194" s="13">
        <f t="shared" si="24"/>
        <v>243.10000000000002</v>
      </c>
      <c r="V194" s="19" t="s">
        <v>3</v>
      </c>
      <c r="X194" s="3">
        <f t="shared" si="25"/>
        <v>24.99</v>
      </c>
    </row>
    <row r="195" spans="1:24" hidden="1" x14ac:dyDescent="0.25">
      <c r="A195" s="5" t="s">
        <v>243</v>
      </c>
      <c r="B195" s="18" t="s">
        <v>282</v>
      </c>
      <c r="C195" s="20" t="str">
        <f t="shared" ref="C195:C226" si="26">+LEFT(B195,2)</f>
        <v>04</v>
      </c>
      <c r="D195" s="20" t="str">
        <f t="shared" ref="D195:D226" si="27">+RIGHT(B195,2)</f>
        <v>05</v>
      </c>
      <c r="E195" s="19" t="s">
        <v>21</v>
      </c>
      <c r="F195" s="19" t="s">
        <v>22</v>
      </c>
      <c r="G195" s="4" t="str">
        <f t="shared" ref="G195:G226" si="28">+C195&amp;F195&amp;D195&amp;F195&amp;E195</f>
        <v>04/05/2021</v>
      </c>
      <c r="H195" s="19" t="s">
        <v>1</v>
      </c>
      <c r="I195" s="19" t="s">
        <v>0</v>
      </c>
      <c r="J195" s="5" t="s">
        <v>393</v>
      </c>
      <c r="K195" s="5" t="s">
        <v>386</v>
      </c>
      <c r="L195" s="22" t="str">
        <f>+VLOOKUP(K195,'[2]BASE DE PROVEEDORES'!$A:$B,2,0)</f>
        <v>LUIS ALFREDO VENTURA ELVIR</v>
      </c>
      <c r="M195" s="25">
        <v>1.58</v>
      </c>
      <c r="N195" s="5" t="s">
        <v>2</v>
      </c>
      <c r="O195" s="5" t="s">
        <v>2</v>
      </c>
      <c r="P195" s="6">
        <v>11.9</v>
      </c>
      <c r="Q195" s="5" t="s">
        <v>2</v>
      </c>
      <c r="R195" s="18" t="s">
        <v>2</v>
      </c>
      <c r="S195" s="18" t="s">
        <v>2</v>
      </c>
      <c r="T195" s="12">
        <v>1.55</v>
      </c>
      <c r="U195" s="13">
        <f t="shared" ref="U195:U226" si="29">+M195+P195+T195</f>
        <v>15.030000000000001</v>
      </c>
      <c r="V195" s="19" t="s">
        <v>3</v>
      </c>
      <c r="X195" s="3">
        <f t="shared" ref="X195:X226" si="30">+ROUND(T195,2)</f>
        <v>1.55</v>
      </c>
    </row>
    <row r="196" spans="1:24" hidden="1" x14ac:dyDescent="0.25">
      <c r="A196" s="5" t="s">
        <v>243</v>
      </c>
      <c r="B196" s="18" t="s">
        <v>282</v>
      </c>
      <c r="C196" s="20" t="str">
        <f t="shared" si="26"/>
        <v>04</v>
      </c>
      <c r="D196" s="20" t="str">
        <f t="shared" si="27"/>
        <v>05</v>
      </c>
      <c r="E196" s="19" t="s">
        <v>21</v>
      </c>
      <c r="F196" s="19" t="s">
        <v>22</v>
      </c>
      <c r="G196" s="4" t="str">
        <f t="shared" si="28"/>
        <v>04/05/2021</v>
      </c>
      <c r="H196" s="19" t="s">
        <v>1</v>
      </c>
      <c r="I196" s="19" t="s">
        <v>0</v>
      </c>
      <c r="J196" s="5" t="s">
        <v>425</v>
      </c>
      <c r="K196" s="5" t="s">
        <v>146</v>
      </c>
      <c r="L196" s="22" t="str">
        <f>+VLOOKUP(K196,'[2]BASE DE PROVEEDORES'!$A:$B,2,0)</f>
        <v>FREUND S.A DE C.V.</v>
      </c>
      <c r="M196" s="25">
        <v>0</v>
      </c>
      <c r="N196" s="5" t="s">
        <v>2</v>
      </c>
      <c r="O196" s="5" t="s">
        <v>2</v>
      </c>
      <c r="P196" s="6">
        <v>24.34</v>
      </c>
      <c r="Q196" s="5" t="s">
        <v>2</v>
      </c>
      <c r="R196" s="18" t="s">
        <v>2</v>
      </c>
      <c r="S196" s="18" t="s">
        <v>2</v>
      </c>
      <c r="T196" s="12">
        <v>3.16</v>
      </c>
      <c r="U196" s="13">
        <f t="shared" si="29"/>
        <v>27.5</v>
      </c>
      <c r="V196" s="19" t="s">
        <v>3</v>
      </c>
      <c r="X196" s="3">
        <f t="shared" si="30"/>
        <v>3.16</v>
      </c>
    </row>
    <row r="197" spans="1:24" hidden="1" x14ac:dyDescent="0.25">
      <c r="A197" s="5" t="s">
        <v>243</v>
      </c>
      <c r="B197" s="18" t="s">
        <v>282</v>
      </c>
      <c r="C197" s="20" t="str">
        <f t="shared" si="26"/>
        <v>04</v>
      </c>
      <c r="D197" s="20" t="str">
        <f t="shared" si="27"/>
        <v>05</v>
      </c>
      <c r="E197" s="19" t="s">
        <v>21</v>
      </c>
      <c r="F197" s="19" t="s">
        <v>22</v>
      </c>
      <c r="G197" s="4" t="str">
        <f t="shared" si="28"/>
        <v>04/05/2021</v>
      </c>
      <c r="H197" s="19" t="s">
        <v>1</v>
      </c>
      <c r="I197" s="19" t="s">
        <v>0</v>
      </c>
      <c r="J197" s="5" t="s">
        <v>456</v>
      </c>
      <c r="K197" s="5" t="s">
        <v>218</v>
      </c>
      <c r="L197" s="22" t="str">
        <f>+VLOOKUP(K197,'[2]BASE DE PROVEEDORES'!$A:$B,2,0)</f>
        <v>IMPRESSA S.A DE C.V.</v>
      </c>
      <c r="M197" s="25">
        <v>0</v>
      </c>
      <c r="N197" s="5" t="s">
        <v>2</v>
      </c>
      <c r="O197" s="5" t="s">
        <v>2</v>
      </c>
      <c r="P197" s="6">
        <v>3.64</v>
      </c>
      <c r="Q197" s="5" t="s">
        <v>2</v>
      </c>
      <c r="R197" s="18" t="s">
        <v>2</v>
      </c>
      <c r="S197" s="18" t="s">
        <v>2</v>
      </c>
      <c r="T197" s="12">
        <v>0.47</v>
      </c>
      <c r="U197" s="13">
        <f t="shared" si="29"/>
        <v>4.1100000000000003</v>
      </c>
      <c r="V197" s="19" t="s">
        <v>3</v>
      </c>
      <c r="X197" s="3">
        <f t="shared" si="30"/>
        <v>0.47</v>
      </c>
    </row>
    <row r="198" spans="1:24" hidden="1" x14ac:dyDescent="0.25">
      <c r="A198" s="5" t="s">
        <v>243</v>
      </c>
      <c r="B198" s="18" t="s">
        <v>315</v>
      </c>
      <c r="C198" s="20" t="str">
        <f t="shared" si="26"/>
        <v>05</v>
      </c>
      <c r="D198" s="20" t="str">
        <f t="shared" si="27"/>
        <v>05</v>
      </c>
      <c r="E198" s="19" t="s">
        <v>21</v>
      </c>
      <c r="F198" s="19" t="s">
        <v>22</v>
      </c>
      <c r="G198" s="4" t="str">
        <f t="shared" si="28"/>
        <v>05/05/2021</v>
      </c>
      <c r="H198" s="19" t="s">
        <v>1</v>
      </c>
      <c r="I198" s="19" t="s">
        <v>0</v>
      </c>
      <c r="J198" s="5" t="s">
        <v>316</v>
      </c>
      <c r="K198" s="5" t="s">
        <v>55</v>
      </c>
      <c r="L198" s="22" t="str">
        <f>+VLOOKUP(K198,'[2]BASE DE PROVEEDORES'!$A:$B,2,0)</f>
        <v xml:space="preserve">DISTRIBUIDORA DE LUBRICANTES Y COMBUSTIBLES S.A DE C.V </v>
      </c>
      <c r="M198" s="25">
        <f>18.89+9.44</f>
        <v>28.33</v>
      </c>
      <c r="N198" s="5" t="s">
        <v>2</v>
      </c>
      <c r="O198" s="5" t="s">
        <v>2</v>
      </c>
      <c r="P198" s="6">
        <v>210.59</v>
      </c>
      <c r="Q198" s="5" t="s">
        <v>2</v>
      </c>
      <c r="R198" s="18" t="s">
        <v>2</v>
      </c>
      <c r="S198" s="18" t="s">
        <v>2</v>
      </c>
      <c r="T198" s="12">
        <v>27.38</v>
      </c>
      <c r="U198" s="13">
        <f t="shared" si="29"/>
        <v>266.3</v>
      </c>
      <c r="V198" s="19" t="s">
        <v>3</v>
      </c>
      <c r="X198" s="3">
        <f t="shared" si="30"/>
        <v>27.38</v>
      </c>
    </row>
    <row r="199" spans="1:24" hidden="1" x14ac:dyDescent="0.25">
      <c r="A199" s="5" t="s">
        <v>243</v>
      </c>
      <c r="B199" s="18" t="s">
        <v>315</v>
      </c>
      <c r="C199" s="20" t="str">
        <f t="shared" si="26"/>
        <v>05</v>
      </c>
      <c r="D199" s="20" t="str">
        <f t="shared" si="27"/>
        <v>05</v>
      </c>
      <c r="E199" s="19" t="s">
        <v>21</v>
      </c>
      <c r="F199" s="19" t="s">
        <v>22</v>
      </c>
      <c r="G199" s="4" t="str">
        <f t="shared" si="28"/>
        <v>05/05/2021</v>
      </c>
      <c r="H199" s="19" t="s">
        <v>1</v>
      </c>
      <c r="I199" s="19" t="s">
        <v>0</v>
      </c>
      <c r="J199" s="5" t="s">
        <v>348</v>
      </c>
      <c r="K199" s="5" t="s">
        <v>55</v>
      </c>
      <c r="L199" s="22" t="str">
        <f>+VLOOKUP(K199,'[2]BASE DE PROVEEDORES'!$A:$B,2,0)</f>
        <v xml:space="preserve">DISTRIBUIDORA DE LUBRICANTES Y COMBUSTIBLES S.A DE C.V </v>
      </c>
      <c r="M199" s="25">
        <f>11.52+5.75</f>
        <v>17.27</v>
      </c>
      <c r="N199" s="5" t="s">
        <v>2</v>
      </c>
      <c r="O199" s="5" t="s">
        <v>2</v>
      </c>
      <c r="P199" s="6">
        <v>128.37</v>
      </c>
      <c r="Q199" s="5" t="s">
        <v>2</v>
      </c>
      <c r="R199" s="18" t="s">
        <v>2</v>
      </c>
      <c r="S199" s="18" t="s">
        <v>2</v>
      </c>
      <c r="T199" s="12">
        <v>16.690000000000001</v>
      </c>
      <c r="U199" s="13">
        <f t="shared" si="29"/>
        <v>162.33000000000001</v>
      </c>
      <c r="V199" s="19" t="s">
        <v>3</v>
      </c>
      <c r="X199" s="3">
        <f t="shared" si="30"/>
        <v>16.690000000000001</v>
      </c>
    </row>
    <row r="200" spans="1:24" hidden="1" x14ac:dyDescent="0.25">
      <c r="A200" s="5" t="s">
        <v>243</v>
      </c>
      <c r="B200" s="18" t="s">
        <v>315</v>
      </c>
      <c r="C200" s="20" t="str">
        <f t="shared" si="26"/>
        <v>05</v>
      </c>
      <c r="D200" s="20" t="str">
        <f t="shared" si="27"/>
        <v>05</v>
      </c>
      <c r="E200" s="19" t="s">
        <v>21</v>
      </c>
      <c r="F200" s="19" t="s">
        <v>22</v>
      </c>
      <c r="G200" s="4" t="str">
        <f t="shared" si="28"/>
        <v>05/05/2021</v>
      </c>
      <c r="H200" s="19" t="s">
        <v>1</v>
      </c>
      <c r="I200" s="19" t="s">
        <v>0</v>
      </c>
      <c r="J200" s="5" t="s">
        <v>387</v>
      </c>
      <c r="K200" s="5" t="s">
        <v>42</v>
      </c>
      <c r="L200" s="22" t="str">
        <f>+VLOOKUP(K200,'[2]BASE DE PROVEEDORES'!$A:$B,2,0)</f>
        <v>ECSA OPERADORA EL SALVADOR S.A DE C.V.</v>
      </c>
      <c r="M200" s="25">
        <v>3.4</v>
      </c>
      <c r="N200" s="5" t="s">
        <v>2</v>
      </c>
      <c r="O200" s="5" t="s">
        <v>2</v>
      </c>
      <c r="P200" s="6">
        <v>25.57</v>
      </c>
      <c r="Q200" s="5" t="s">
        <v>2</v>
      </c>
      <c r="R200" s="18" t="s">
        <v>2</v>
      </c>
      <c r="S200" s="18" t="s">
        <v>2</v>
      </c>
      <c r="T200" s="12">
        <v>3.32</v>
      </c>
      <c r="U200" s="13">
        <f t="shared" si="29"/>
        <v>32.29</v>
      </c>
      <c r="V200" s="19" t="s">
        <v>3</v>
      </c>
      <c r="X200" s="3">
        <f t="shared" si="30"/>
        <v>3.32</v>
      </c>
    </row>
    <row r="201" spans="1:24" hidden="1" x14ac:dyDescent="0.25">
      <c r="A201" s="5" t="s">
        <v>243</v>
      </c>
      <c r="B201" s="18" t="s">
        <v>315</v>
      </c>
      <c r="C201" s="20" t="str">
        <f t="shared" si="26"/>
        <v>05</v>
      </c>
      <c r="D201" s="20" t="str">
        <f t="shared" si="27"/>
        <v>05</v>
      </c>
      <c r="E201" s="19" t="s">
        <v>21</v>
      </c>
      <c r="F201" s="19" t="s">
        <v>22</v>
      </c>
      <c r="G201" s="4" t="str">
        <f t="shared" si="28"/>
        <v>05/05/2021</v>
      </c>
      <c r="H201" s="19" t="s">
        <v>1</v>
      </c>
      <c r="I201" s="19" t="s">
        <v>0</v>
      </c>
      <c r="J201" s="5" t="s">
        <v>390</v>
      </c>
      <c r="K201" s="5" t="s">
        <v>391</v>
      </c>
      <c r="L201" s="22" t="str">
        <f>+VLOOKUP(K201,'[2]BASE DE PROVEEDORES'!$A:$B,2,0)</f>
        <v>RAMIREZ VENTURA S.A DE C.V.</v>
      </c>
      <c r="M201" s="25">
        <f>2.94+1.47</f>
        <v>4.41</v>
      </c>
      <c r="N201" s="5" t="s">
        <v>2</v>
      </c>
      <c r="O201" s="5" t="s">
        <v>2</v>
      </c>
      <c r="P201" s="6">
        <v>40.36</v>
      </c>
      <c r="Q201" s="5" t="s">
        <v>2</v>
      </c>
      <c r="R201" s="18" t="s">
        <v>2</v>
      </c>
      <c r="S201" s="18" t="s">
        <v>2</v>
      </c>
      <c r="T201" s="12">
        <v>5.25</v>
      </c>
      <c r="U201" s="13">
        <f t="shared" si="29"/>
        <v>50.019999999999996</v>
      </c>
      <c r="V201" s="19" t="s">
        <v>3</v>
      </c>
      <c r="X201" s="3">
        <f t="shared" si="30"/>
        <v>5.25</v>
      </c>
    </row>
    <row r="202" spans="1:24" hidden="1" x14ac:dyDescent="0.25">
      <c r="A202" s="5" t="s">
        <v>243</v>
      </c>
      <c r="B202" s="18" t="s">
        <v>315</v>
      </c>
      <c r="C202" s="20" t="str">
        <f t="shared" si="26"/>
        <v>05</v>
      </c>
      <c r="D202" s="20" t="str">
        <f t="shared" si="27"/>
        <v>05</v>
      </c>
      <c r="E202" s="19" t="s">
        <v>21</v>
      </c>
      <c r="F202" s="19" t="s">
        <v>22</v>
      </c>
      <c r="G202" s="4" t="str">
        <f t="shared" si="28"/>
        <v>05/05/2021</v>
      </c>
      <c r="H202" s="19" t="s">
        <v>1</v>
      </c>
      <c r="I202" s="19" t="s">
        <v>0</v>
      </c>
      <c r="J202" s="5" t="s">
        <v>392</v>
      </c>
      <c r="K202" s="5" t="s">
        <v>42</v>
      </c>
      <c r="L202" s="22" t="str">
        <f>+VLOOKUP(K202,'[2]BASE DE PROVEEDORES'!$A:$B,2,0)</f>
        <v>ECSA OPERADORA EL SALVADOR S.A DE C.V.</v>
      </c>
      <c r="M202" s="25">
        <v>1.02</v>
      </c>
      <c r="N202" s="5" t="s">
        <v>2</v>
      </c>
      <c r="O202" s="5" t="s">
        <v>2</v>
      </c>
      <c r="P202" s="6">
        <v>7.7</v>
      </c>
      <c r="Q202" s="5" t="s">
        <v>2</v>
      </c>
      <c r="R202" s="18" t="s">
        <v>2</v>
      </c>
      <c r="S202" s="18" t="s">
        <v>2</v>
      </c>
      <c r="T202" s="12">
        <v>1</v>
      </c>
      <c r="U202" s="13">
        <f t="shared" si="29"/>
        <v>9.7200000000000006</v>
      </c>
      <c r="V202" s="19" t="s">
        <v>3</v>
      </c>
      <c r="X202" s="3">
        <f t="shared" si="30"/>
        <v>1</v>
      </c>
    </row>
    <row r="203" spans="1:24" hidden="1" x14ac:dyDescent="0.25">
      <c r="A203" s="5" t="s">
        <v>243</v>
      </c>
      <c r="B203" s="18" t="s">
        <v>315</v>
      </c>
      <c r="C203" s="20" t="str">
        <f t="shared" si="26"/>
        <v>05</v>
      </c>
      <c r="D203" s="20" t="str">
        <f t="shared" si="27"/>
        <v>05</v>
      </c>
      <c r="E203" s="19" t="s">
        <v>21</v>
      </c>
      <c r="F203" s="19" t="s">
        <v>22</v>
      </c>
      <c r="G203" s="4" t="str">
        <f t="shared" si="28"/>
        <v>05/05/2021</v>
      </c>
      <c r="H203" s="19" t="s">
        <v>1</v>
      </c>
      <c r="I203" s="19" t="s">
        <v>0</v>
      </c>
      <c r="J203" s="5" t="s">
        <v>435</v>
      </c>
      <c r="K203" s="5" t="s">
        <v>172</v>
      </c>
      <c r="L203" s="22" t="str">
        <f>+VLOOKUP(K203,'[2]BASE DE PROVEEDORES'!$A:$B,2,0)</f>
        <v>MUNFRE S.A DE C.V.</v>
      </c>
      <c r="M203" s="25">
        <v>0</v>
      </c>
      <c r="N203" s="5" t="s">
        <v>2</v>
      </c>
      <c r="O203" s="5" t="s">
        <v>2</v>
      </c>
      <c r="P203" s="6">
        <v>37.03</v>
      </c>
      <c r="Q203" s="5" t="s">
        <v>2</v>
      </c>
      <c r="R203" s="18" t="s">
        <v>2</v>
      </c>
      <c r="S203" s="18" t="s">
        <v>2</v>
      </c>
      <c r="T203" s="12">
        <v>4.8099999999999996</v>
      </c>
      <c r="U203" s="13">
        <f t="shared" si="29"/>
        <v>41.84</v>
      </c>
      <c r="V203" s="19" t="s">
        <v>3</v>
      </c>
      <c r="X203" s="3">
        <f t="shared" si="30"/>
        <v>4.8099999999999996</v>
      </c>
    </row>
    <row r="204" spans="1:24" hidden="1" x14ac:dyDescent="0.25">
      <c r="A204" s="5" t="s">
        <v>243</v>
      </c>
      <c r="B204" s="18" t="s">
        <v>315</v>
      </c>
      <c r="C204" s="20" t="str">
        <f t="shared" si="26"/>
        <v>05</v>
      </c>
      <c r="D204" s="20" t="str">
        <f t="shared" si="27"/>
        <v>05</v>
      </c>
      <c r="E204" s="19" t="s">
        <v>21</v>
      </c>
      <c r="F204" s="19" t="s">
        <v>22</v>
      </c>
      <c r="G204" s="4" t="str">
        <f t="shared" si="28"/>
        <v>05/05/2021</v>
      </c>
      <c r="H204" s="19" t="s">
        <v>1</v>
      </c>
      <c r="I204" s="19" t="s">
        <v>0</v>
      </c>
      <c r="J204" s="5" t="s">
        <v>443</v>
      </c>
      <c r="K204" s="5" t="s">
        <v>218</v>
      </c>
      <c r="L204" s="22" t="str">
        <f>+VLOOKUP(K204,'[2]BASE DE PROVEEDORES'!$A:$B,2,0)</f>
        <v>IMPRESSA S.A DE C.V.</v>
      </c>
      <c r="M204" s="25">
        <v>0</v>
      </c>
      <c r="N204" s="5" t="s">
        <v>2</v>
      </c>
      <c r="O204" s="5" t="s">
        <v>2</v>
      </c>
      <c r="P204" s="6">
        <v>14.5</v>
      </c>
      <c r="Q204" s="5" t="s">
        <v>2</v>
      </c>
      <c r="R204" s="18" t="s">
        <v>2</v>
      </c>
      <c r="S204" s="18" t="s">
        <v>2</v>
      </c>
      <c r="T204" s="12">
        <v>1.89</v>
      </c>
      <c r="U204" s="13">
        <f t="shared" si="29"/>
        <v>16.39</v>
      </c>
      <c r="V204" s="19" t="s">
        <v>3</v>
      </c>
      <c r="X204" s="3">
        <f t="shared" si="30"/>
        <v>1.89</v>
      </c>
    </row>
    <row r="205" spans="1:24" hidden="1" x14ac:dyDescent="0.25">
      <c r="A205" s="5" t="s">
        <v>243</v>
      </c>
      <c r="B205" s="18" t="s">
        <v>315</v>
      </c>
      <c r="C205" s="20" t="str">
        <f t="shared" si="26"/>
        <v>05</v>
      </c>
      <c r="D205" s="20" t="str">
        <f t="shared" si="27"/>
        <v>05</v>
      </c>
      <c r="E205" s="19" t="s">
        <v>21</v>
      </c>
      <c r="F205" s="19" t="s">
        <v>22</v>
      </c>
      <c r="G205" s="4" t="str">
        <f t="shared" si="28"/>
        <v>05/05/2021</v>
      </c>
      <c r="H205" s="19" t="s">
        <v>1</v>
      </c>
      <c r="I205" s="19" t="s">
        <v>0</v>
      </c>
      <c r="J205" s="5" t="s">
        <v>448</v>
      </c>
      <c r="K205" s="5" t="s">
        <v>218</v>
      </c>
      <c r="L205" s="22" t="str">
        <f>+VLOOKUP(K205,'[2]BASE DE PROVEEDORES'!$A:$B,2,0)</f>
        <v>IMPRESSA S.A DE C.V.</v>
      </c>
      <c r="M205" s="25">
        <v>0</v>
      </c>
      <c r="N205" s="5" t="s">
        <v>2</v>
      </c>
      <c r="O205" s="5" t="s">
        <v>2</v>
      </c>
      <c r="P205" s="6">
        <v>8</v>
      </c>
      <c r="Q205" s="5" t="s">
        <v>2</v>
      </c>
      <c r="R205" s="18" t="s">
        <v>2</v>
      </c>
      <c r="S205" s="18" t="s">
        <v>2</v>
      </c>
      <c r="T205" s="12">
        <v>1.04</v>
      </c>
      <c r="U205" s="13">
        <f t="shared" si="29"/>
        <v>9.0399999999999991</v>
      </c>
      <c r="V205" s="19" t="s">
        <v>3</v>
      </c>
      <c r="X205" s="3">
        <f t="shared" si="30"/>
        <v>1.04</v>
      </c>
    </row>
    <row r="206" spans="1:24" hidden="1" x14ac:dyDescent="0.25">
      <c r="A206" s="5" t="s">
        <v>243</v>
      </c>
      <c r="B206" s="18" t="s">
        <v>315</v>
      </c>
      <c r="C206" s="20" t="str">
        <f t="shared" si="26"/>
        <v>05</v>
      </c>
      <c r="D206" s="20" t="str">
        <f t="shared" si="27"/>
        <v>05</v>
      </c>
      <c r="E206" s="19" t="s">
        <v>21</v>
      </c>
      <c r="F206" s="19" t="s">
        <v>22</v>
      </c>
      <c r="G206" s="4" t="str">
        <f t="shared" si="28"/>
        <v>05/05/2021</v>
      </c>
      <c r="H206" s="19" t="s">
        <v>1</v>
      </c>
      <c r="I206" s="19" t="s">
        <v>0</v>
      </c>
      <c r="J206" s="5" t="s">
        <v>449</v>
      </c>
      <c r="K206" s="5" t="s">
        <v>159</v>
      </c>
      <c r="L206" s="22" t="str">
        <f>+VLOOKUP(K206,'[2]BASE DE PROVEEDORES'!$A:$B,2,0)</f>
        <v xml:space="preserve">SUPER REPUESTOS EL SALVADOR </v>
      </c>
      <c r="M206" s="25">
        <v>0</v>
      </c>
      <c r="N206" s="5" t="s">
        <v>2</v>
      </c>
      <c r="O206" s="5" t="s">
        <v>2</v>
      </c>
      <c r="P206" s="6">
        <v>14.4</v>
      </c>
      <c r="Q206" s="5" t="s">
        <v>2</v>
      </c>
      <c r="R206" s="18" t="s">
        <v>2</v>
      </c>
      <c r="S206" s="18" t="s">
        <v>2</v>
      </c>
      <c r="T206" s="12">
        <v>1.87</v>
      </c>
      <c r="U206" s="13">
        <f t="shared" si="29"/>
        <v>16.27</v>
      </c>
      <c r="V206" s="19" t="s">
        <v>3</v>
      </c>
      <c r="X206" s="3">
        <f t="shared" si="30"/>
        <v>1.87</v>
      </c>
    </row>
    <row r="207" spans="1:24" hidden="1" x14ac:dyDescent="0.25">
      <c r="A207" s="5" t="s">
        <v>243</v>
      </c>
      <c r="B207" s="18" t="s">
        <v>315</v>
      </c>
      <c r="C207" s="20" t="str">
        <f t="shared" si="26"/>
        <v>05</v>
      </c>
      <c r="D207" s="20" t="str">
        <f t="shared" si="27"/>
        <v>05</v>
      </c>
      <c r="E207" s="19" t="s">
        <v>21</v>
      </c>
      <c r="F207" s="19" t="s">
        <v>22</v>
      </c>
      <c r="G207" s="4" t="str">
        <f t="shared" si="28"/>
        <v>05/05/2021</v>
      </c>
      <c r="H207" s="19" t="s">
        <v>1</v>
      </c>
      <c r="I207" s="19" t="s">
        <v>0</v>
      </c>
      <c r="J207" s="5" t="s">
        <v>474</v>
      </c>
      <c r="K207" s="5" t="s">
        <v>471</v>
      </c>
      <c r="L207" s="22" t="str">
        <f>+VLOOKUP(K207,'[2]BASE DE PROVEEDORES'!$A:$B,2,0)</f>
        <v>H. BARON S.A DE C.V.</v>
      </c>
      <c r="M207" s="25">
        <v>0</v>
      </c>
      <c r="N207" s="5" t="s">
        <v>2</v>
      </c>
      <c r="O207" s="5" t="s">
        <v>2</v>
      </c>
      <c r="P207" s="6">
        <v>339.3</v>
      </c>
      <c r="Q207" s="5" t="s">
        <v>2</v>
      </c>
      <c r="R207" s="18" t="s">
        <v>2</v>
      </c>
      <c r="S207" s="18" t="s">
        <v>2</v>
      </c>
      <c r="T207" s="12">
        <v>44.11</v>
      </c>
      <c r="U207" s="13">
        <f t="shared" si="29"/>
        <v>383.41</v>
      </c>
      <c r="V207" s="19" t="s">
        <v>3</v>
      </c>
      <c r="X207" s="3">
        <f t="shared" si="30"/>
        <v>44.11</v>
      </c>
    </row>
    <row r="208" spans="1:24" hidden="1" x14ac:dyDescent="0.25">
      <c r="A208" s="5" t="s">
        <v>243</v>
      </c>
      <c r="B208" s="18" t="s">
        <v>250</v>
      </c>
      <c r="C208" s="20" t="str">
        <f t="shared" si="26"/>
        <v>06</v>
      </c>
      <c r="D208" s="20" t="str">
        <f t="shared" si="27"/>
        <v>05</v>
      </c>
      <c r="E208" s="19" t="s">
        <v>21</v>
      </c>
      <c r="F208" s="19" t="s">
        <v>22</v>
      </c>
      <c r="G208" s="4" t="str">
        <f t="shared" si="28"/>
        <v>06/05/2021</v>
      </c>
      <c r="H208" s="19" t="s">
        <v>1</v>
      </c>
      <c r="I208" s="19" t="s">
        <v>0</v>
      </c>
      <c r="J208" s="5" t="s">
        <v>251</v>
      </c>
      <c r="K208" s="5" t="s">
        <v>55</v>
      </c>
      <c r="L208" s="22" t="str">
        <f>+VLOOKUP(K208,'[2]BASE DE PROVEEDORES'!$A:$B,2,0)</f>
        <v xml:space="preserve">DISTRIBUIDORA DE LUBRICANTES Y COMBUSTIBLES S.A DE C.V </v>
      </c>
      <c r="M208" s="25">
        <f>7.48+3.74</f>
        <v>11.22</v>
      </c>
      <c r="N208" s="5" t="s">
        <v>2</v>
      </c>
      <c r="O208" s="5" t="s">
        <v>2</v>
      </c>
      <c r="P208" s="6">
        <v>83.45</v>
      </c>
      <c r="Q208" s="5" t="s">
        <v>2</v>
      </c>
      <c r="R208" s="18" t="s">
        <v>2</v>
      </c>
      <c r="S208" s="18" t="s">
        <v>2</v>
      </c>
      <c r="T208" s="12">
        <v>10.85</v>
      </c>
      <c r="U208" s="13">
        <f t="shared" si="29"/>
        <v>105.52</v>
      </c>
      <c r="V208" s="19" t="s">
        <v>3</v>
      </c>
      <c r="X208" s="3">
        <f t="shared" si="30"/>
        <v>10.85</v>
      </c>
    </row>
    <row r="209" spans="1:24" hidden="1" x14ac:dyDescent="0.25">
      <c r="A209" s="5" t="s">
        <v>243</v>
      </c>
      <c r="B209" s="18" t="s">
        <v>250</v>
      </c>
      <c r="C209" s="20" t="str">
        <f t="shared" si="26"/>
        <v>06</v>
      </c>
      <c r="D209" s="20" t="str">
        <f t="shared" si="27"/>
        <v>05</v>
      </c>
      <c r="E209" s="19" t="s">
        <v>21</v>
      </c>
      <c r="F209" s="19" t="s">
        <v>22</v>
      </c>
      <c r="G209" s="4" t="str">
        <f t="shared" si="28"/>
        <v>06/05/2021</v>
      </c>
      <c r="H209" s="19" t="s">
        <v>1</v>
      </c>
      <c r="I209" s="19" t="s">
        <v>0</v>
      </c>
      <c r="J209" s="5" t="s">
        <v>303</v>
      </c>
      <c r="K209" s="5" t="s">
        <v>55</v>
      </c>
      <c r="L209" s="22" t="str">
        <f>+VLOOKUP(K209,'[2]BASE DE PROVEEDORES'!$A:$B,2,0)</f>
        <v xml:space="preserve">DISTRIBUIDORA DE LUBRICANTES Y COMBUSTIBLES S.A DE C.V </v>
      </c>
      <c r="M209" s="25">
        <f>1.38+0.69</f>
        <v>2.0699999999999998</v>
      </c>
      <c r="N209" s="5" t="s">
        <v>2</v>
      </c>
      <c r="O209" s="5" t="s">
        <v>2</v>
      </c>
      <c r="P209" s="6">
        <v>15.46</v>
      </c>
      <c r="Q209" s="5" t="s">
        <v>2</v>
      </c>
      <c r="R209" s="18" t="s">
        <v>2</v>
      </c>
      <c r="S209" s="18" t="s">
        <v>2</v>
      </c>
      <c r="T209" s="12">
        <v>2.0099999999999998</v>
      </c>
      <c r="U209" s="13">
        <f t="shared" si="29"/>
        <v>19.54</v>
      </c>
      <c r="V209" s="19" t="s">
        <v>3</v>
      </c>
      <c r="X209" s="3">
        <f t="shared" si="30"/>
        <v>2.0099999999999998</v>
      </c>
    </row>
    <row r="210" spans="1:24" hidden="1" x14ac:dyDescent="0.25">
      <c r="A210" s="5" t="s">
        <v>243</v>
      </c>
      <c r="B210" s="18" t="s">
        <v>250</v>
      </c>
      <c r="C210" s="20" t="str">
        <f t="shared" si="26"/>
        <v>06</v>
      </c>
      <c r="D210" s="20" t="str">
        <f t="shared" si="27"/>
        <v>05</v>
      </c>
      <c r="E210" s="19" t="s">
        <v>21</v>
      </c>
      <c r="F210" s="19" t="s">
        <v>22</v>
      </c>
      <c r="G210" s="4" t="str">
        <f t="shared" si="28"/>
        <v>06/05/2021</v>
      </c>
      <c r="H210" s="19" t="s">
        <v>1</v>
      </c>
      <c r="I210" s="19" t="s">
        <v>0</v>
      </c>
      <c r="J210" s="5" t="s">
        <v>304</v>
      </c>
      <c r="K210" s="5" t="s">
        <v>55</v>
      </c>
      <c r="L210" s="22" t="str">
        <f>+VLOOKUP(K210,'[2]BASE DE PROVEEDORES'!$A:$B,2,0)</f>
        <v xml:space="preserve">DISTRIBUIDORA DE LUBRICANTES Y COMBUSTIBLES S.A DE C.V </v>
      </c>
      <c r="M210" s="25">
        <f>3.6+1.8</f>
        <v>5.4</v>
      </c>
      <c r="N210" s="5" t="s">
        <v>2</v>
      </c>
      <c r="O210" s="5" t="s">
        <v>2</v>
      </c>
      <c r="P210" s="6">
        <v>40.229999999999997</v>
      </c>
      <c r="Q210" s="5" t="s">
        <v>2</v>
      </c>
      <c r="R210" s="18" t="s">
        <v>2</v>
      </c>
      <c r="S210" s="18" t="s">
        <v>2</v>
      </c>
      <c r="T210" s="12">
        <v>5.23</v>
      </c>
      <c r="U210" s="13">
        <f t="shared" si="29"/>
        <v>50.86</v>
      </c>
      <c r="V210" s="19" t="s">
        <v>3</v>
      </c>
      <c r="X210" s="3">
        <f t="shared" si="30"/>
        <v>5.23</v>
      </c>
    </row>
    <row r="211" spans="1:24" hidden="1" x14ac:dyDescent="0.25">
      <c r="A211" s="5" t="s">
        <v>243</v>
      </c>
      <c r="B211" s="18" t="s">
        <v>250</v>
      </c>
      <c r="C211" s="20" t="str">
        <f t="shared" si="26"/>
        <v>06</v>
      </c>
      <c r="D211" s="20" t="str">
        <f t="shared" si="27"/>
        <v>05</v>
      </c>
      <c r="E211" s="19" t="s">
        <v>21</v>
      </c>
      <c r="F211" s="19" t="s">
        <v>22</v>
      </c>
      <c r="G211" s="4" t="str">
        <f t="shared" si="28"/>
        <v>06/05/2021</v>
      </c>
      <c r="H211" s="19" t="s">
        <v>1</v>
      </c>
      <c r="I211" s="19" t="s">
        <v>0</v>
      </c>
      <c r="J211" s="5" t="s">
        <v>305</v>
      </c>
      <c r="K211" s="5" t="s">
        <v>55</v>
      </c>
      <c r="L211" s="22" t="str">
        <f>+VLOOKUP(K211,'[2]BASE DE PROVEEDORES'!$A:$B,2,0)</f>
        <v xml:space="preserve">DISTRIBUIDORA DE LUBRICANTES Y COMBUSTIBLES S.A DE C.V </v>
      </c>
      <c r="M211" s="25">
        <f>1.42+0.71</f>
        <v>2.13</v>
      </c>
      <c r="N211" s="5" t="s">
        <v>2</v>
      </c>
      <c r="O211" s="5" t="s">
        <v>2</v>
      </c>
      <c r="P211" s="6">
        <v>15.82</v>
      </c>
      <c r="Q211" s="5" t="s">
        <v>2</v>
      </c>
      <c r="R211" s="18" t="s">
        <v>2</v>
      </c>
      <c r="S211" s="18" t="s">
        <v>2</v>
      </c>
      <c r="T211" s="12">
        <v>2.06</v>
      </c>
      <c r="U211" s="13">
        <f t="shared" si="29"/>
        <v>20.009999999999998</v>
      </c>
      <c r="V211" s="19" t="s">
        <v>3</v>
      </c>
      <c r="X211" s="3">
        <f t="shared" si="30"/>
        <v>2.06</v>
      </c>
    </row>
    <row r="212" spans="1:24" hidden="1" x14ac:dyDescent="0.25">
      <c r="A212" s="5" t="s">
        <v>243</v>
      </c>
      <c r="B212" s="18" t="s">
        <v>250</v>
      </c>
      <c r="C212" s="20" t="str">
        <f t="shared" si="26"/>
        <v>06</v>
      </c>
      <c r="D212" s="20" t="str">
        <f t="shared" si="27"/>
        <v>05</v>
      </c>
      <c r="E212" s="19" t="s">
        <v>21</v>
      </c>
      <c r="F212" s="19" t="s">
        <v>22</v>
      </c>
      <c r="G212" s="4" t="str">
        <f t="shared" si="28"/>
        <v>06/05/2021</v>
      </c>
      <c r="H212" s="19" t="s">
        <v>1</v>
      </c>
      <c r="I212" s="19" t="s">
        <v>0</v>
      </c>
      <c r="J212" s="5" t="s">
        <v>306</v>
      </c>
      <c r="K212" s="5" t="s">
        <v>55</v>
      </c>
      <c r="L212" s="22" t="str">
        <f>+VLOOKUP(K212,'[2]BASE DE PROVEEDORES'!$A:$B,2,0)</f>
        <v xml:space="preserve">DISTRIBUIDORA DE LUBRICANTES Y COMBUSTIBLES S.A DE C.V </v>
      </c>
      <c r="M212" s="25">
        <f>26.38+13.19</f>
        <v>39.57</v>
      </c>
      <c r="N212" s="5" t="s">
        <v>2</v>
      </c>
      <c r="O212" s="5" t="s">
        <v>2</v>
      </c>
      <c r="P212" s="6">
        <v>294.07</v>
      </c>
      <c r="Q212" s="5" t="s">
        <v>2</v>
      </c>
      <c r="R212" s="18" t="s">
        <v>2</v>
      </c>
      <c r="S212" s="18" t="s">
        <v>2</v>
      </c>
      <c r="T212" s="12">
        <v>38.229999999999997</v>
      </c>
      <c r="U212" s="13">
        <f t="shared" si="29"/>
        <v>371.87</v>
      </c>
      <c r="V212" s="19" t="s">
        <v>3</v>
      </c>
      <c r="X212" s="3">
        <f t="shared" si="30"/>
        <v>38.229999999999997</v>
      </c>
    </row>
    <row r="213" spans="1:24" hidden="1" x14ac:dyDescent="0.25">
      <c r="A213" s="5" t="s">
        <v>243</v>
      </c>
      <c r="B213" s="18" t="s">
        <v>250</v>
      </c>
      <c r="C213" s="20" t="str">
        <f t="shared" si="26"/>
        <v>06</v>
      </c>
      <c r="D213" s="20" t="str">
        <f t="shared" si="27"/>
        <v>05</v>
      </c>
      <c r="E213" s="19" t="s">
        <v>21</v>
      </c>
      <c r="F213" s="19" t="s">
        <v>22</v>
      </c>
      <c r="G213" s="4" t="str">
        <f t="shared" si="28"/>
        <v>06/05/2021</v>
      </c>
      <c r="H213" s="19" t="s">
        <v>1</v>
      </c>
      <c r="I213" s="19" t="s">
        <v>0</v>
      </c>
      <c r="J213" s="5" t="s">
        <v>307</v>
      </c>
      <c r="K213" s="5" t="s">
        <v>55</v>
      </c>
      <c r="L213" s="22" t="str">
        <f>+VLOOKUP(K213,'[2]BASE DE PROVEEDORES'!$A:$B,2,0)</f>
        <v xml:space="preserve">DISTRIBUIDORA DE LUBRICANTES Y COMBUSTIBLES S.A DE C.V </v>
      </c>
      <c r="M213" s="25">
        <f>16.75+8.37</f>
        <v>25.119999999999997</v>
      </c>
      <c r="N213" s="5" t="s">
        <v>2</v>
      </c>
      <c r="O213" s="5" t="s">
        <v>2</v>
      </c>
      <c r="P213" s="6">
        <v>186.79</v>
      </c>
      <c r="Q213" s="5" t="s">
        <v>2</v>
      </c>
      <c r="R213" s="18" t="s">
        <v>2</v>
      </c>
      <c r="S213" s="18" t="s">
        <v>2</v>
      </c>
      <c r="T213" s="12">
        <v>24.28</v>
      </c>
      <c r="U213" s="13">
        <f t="shared" si="29"/>
        <v>236.19</v>
      </c>
      <c r="V213" s="19" t="s">
        <v>3</v>
      </c>
      <c r="X213" s="3">
        <f t="shared" si="30"/>
        <v>24.28</v>
      </c>
    </row>
    <row r="214" spans="1:24" hidden="1" x14ac:dyDescent="0.25">
      <c r="A214" s="5" t="s">
        <v>243</v>
      </c>
      <c r="B214" s="18" t="s">
        <v>250</v>
      </c>
      <c r="C214" s="20" t="str">
        <f t="shared" si="26"/>
        <v>06</v>
      </c>
      <c r="D214" s="20" t="str">
        <f t="shared" si="27"/>
        <v>05</v>
      </c>
      <c r="E214" s="19" t="s">
        <v>21</v>
      </c>
      <c r="F214" s="19" t="s">
        <v>22</v>
      </c>
      <c r="G214" s="4" t="str">
        <f t="shared" si="28"/>
        <v>06/05/2021</v>
      </c>
      <c r="H214" s="19" t="s">
        <v>1</v>
      </c>
      <c r="I214" s="19" t="s">
        <v>0</v>
      </c>
      <c r="J214" s="5" t="s">
        <v>331</v>
      </c>
      <c r="K214" s="5" t="s">
        <v>55</v>
      </c>
      <c r="L214" s="22" t="str">
        <f>+VLOOKUP(K214,'[2]BASE DE PROVEEDORES'!$A:$B,2,0)</f>
        <v xml:space="preserve">DISTRIBUIDORA DE LUBRICANTES Y COMBUSTIBLES S.A DE C.V </v>
      </c>
      <c r="M214" s="25">
        <f>12.31+6.15</f>
        <v>18.46</v>
      </c>
      <c r="N214" s="5" t="s">
        <v>2</v>
      </c>
      <c r="O214" s="5" t="s">
        <v>2</v>
      </c>
      <c r="P214" s="6">
        <v>137.22999999999999</v>
      </c>
      <c r="Q214" s="5" t="s">
        <v>2</v>
      </c>
      <c r="R214" s="18" t="s">
        <v>2</v>
      </c>
      <c r="S214" s="18" t="s">
        <v>2</v>
      </c>
      <c r="T214" s="12">
        <v>17.84</v>
      </c>
      <c r="U214" s="13">
        <f t="shared" si="29"/>
        <v>173.53</v>
      </c>
      <c r="V214" s="19" t="s">
        <v>3</v>
      </c>
      <c r="X214" s="3">
        <f t="shared" si="30"/>
        <v>17.84</v>
      </c>
    </row>
    <row r="215" spans="1:24" hidden="1" x14ac:dyDescent="0.25">
      <c r="A215" s="5" t="s">
        <v>243</v>
      </c>
      <c r="B215" s="18" t="s">
        <v>250</v>
      </c>
      <c r="C215" s="20" t="str">
        <f t="shared" si="26"/>
        <v>06</v>
      </c>
      <c r="D215" s="20" t="str">
        <f t="shared" si="27"/>
        <v>05</v>
      </c>
      <c r="E215" s="19" t="s">
        <v>21</v>
      </c>
      <c r="F215" s="19" t="s">
        <v>22</v>
      </c>
      <c r="G215" s="4" t="str">
        <f t="shared" si="28"/>
        <v>06/05/2021</v>
      </c>
      <c r="H215" s="19" t="s">
        <v>1</v>
      </c>
      <c r="I215" s="19" t="s">
        <v>0</v>
      </c>
      <c r="J215" s="5" t="s">
        <v>401</v>
      </c>
      <c r="K215" s="5" t="s">
        <v>37</v>
      </c>
      <c r="L215" s="22" t="str">
        <f>+VLOOKUP(K215,'[2]BASE DE PROVEEDORES'!$A:$B,2,0)</f>
        <v>INVERSIONES RAMIREZ QUINTANILLA S.A DE C.V.</v>
      </c>
      <c r="M215" s="25">
        <f>3.21+1.61</f>
        <v>4.82</v>
      </c>
      <c r="N215" s="5" t="s">
        <v>2</v>
      </c>
      <c r="O215" s="5" t="s">
        <v>2</v>
      </c>
      <c r="P215" s="6">
        <v>36.97</v>
      </c>
      <c r="Q215" s="5" t="s">
        <v>2</v>
      </c>
      <c r="R215" s="18" t="s">
        <v>2</v>
      </c>
      <c r="S215" s="18" t="s">
        <v>2</v>
      </c>
      <c r="T215" s="12">
        <v>4.8099999999999996</v>
      </c>
      <c r="U215" s="13">
        <f t="shared" si="29"/>
        <v>46.6</v>
      </c>
      <c r="V215" s="19" t="s">
        <v>3</v>
      </c>
      <c r="X215" s="3">
        <f t="shared" si="30"/>
        <v>4.8099999999999996</v>
      </c>
    </row>
    <row r="216" spans="1:24" hidden="1" x14ac:dyDescent="0.25">
      <c r="A216" s="5" t="s">
        <v>243</v>
      </c>
      <c r="B216" s="18" t="s">
        <v>250</v>
      </c>
      <c r="C216" s="20" t="str">
        <f t="shared" si="26"/>
        <v>06</v>
      </c>
      <c r="D216" s="20" t="str">
        <f t="shared" si="27"/>
        <v>05</v>
      </c>
      <c r="E216" s="19" t="s">
        <v>21</v>
      </c>
      <c r="F216" s="19" t="s">
        <v>22</v>
      </c>
      <c r="G216" s="4" t="str">
        <f t="shared" si="28"/>
        <v>06/05/2021</v>
      </c>
      <c r="H216" s="19" t="s">
        <v>1</v>
      </c>
      <c r="I216" s="19" t="s">
        <v>0</v>
      </c>
      <c r="J216" s="5" t="s">
        <v>447</v>
      </c>
      <c r="K216" s="5" t="s">
        <v>192</v>
      </c>
      <c r="L216" s="22" t="str">
        <f>+VLOOKUP(K216,'[2]BASE DE PROVEEDORES'!$A:$B,2,0)</f>
        <v>REPUESTOS NOE S.A DE C.V.</v>
      </c>
      <c r="M216" s="25">
        <v>0</v>
      </c>
      <c r="N216" s="5" t="s">
        <v>2</v>
      </c>
      <c r="O216" s="5" t="s">
        <v>2</v>
      </c>
      <c r="P216" s="6">
        <v>45</v>
      </c>
      <c r="Q216" s="5" t="s">
        <v>2</v>
      </c>
      <c r="R216" s="18" t="s">
        <v>2</v>
      </c>
      <c r="S216" s="18" t="s">
        <v>2</v>
      </c>
      <c r="T216" s="12">
        <v>5.85</v>
      </c>
      <c r="U216" s="13">
        <f t="shared" si="29"/>
        <v>50.85</v>
      </c>
      <c r="V216" s="19" t="s">
        <v>3</v>
      </c>
      <c r="X216" s="3">
        <f t="shared" si="30"/>
        <v>5.85</v>
      </c>
    </row>
    <row r="217" spans="1:24" hidden="1" x14ac:dyDescent="0.25">
      <c r="A217" s="5" t="s">
        <v>243</v>
      </c>
      <c r="B217" s="18" t="s">
        <v>250</v>
      </c>
      <c r="C217" s="20" t="str">
        <f t="shared" si="26"/>
        <v>06</v>
      </c>
      <c r="D217" s="20" t="str">
        <f t="shared" si="27"/>
        <v>05</v>
      </c>
      <c r="E217" s="19" t="s">
        <v>21</v>
      </c>
      <c r="F217" s="19" t="s">
        <v>22</v>
      </c>
      <c r="G217" s="4" t="str">
        <f t="shared" si="28"/>
        <v>06/05/2021</v>
      </c>
      <c r="H217" s="19" t="s">
        <v>1</v>
      </c>
      <c r="I217" s="19" t="s">
        <v>0</v>
      </c>
      <c r="J217" s="5" t="s">
        <v>455</v>
      </c>
      <c r="K217" s="5" t="s">
        <v>164</v>
      </c>
      <c r="L217" s="22" t="str">
        <f>+VLOOKUP(K217,'[2]BASE DE PROVEEDORES'!$A:$B,2,0)</f>
        <v>TRANPORTES PESADOS S.A DE C.V.</v>
      </c>
      <c r="M217" s="25">
        <v>0</v>
      </c>
      <c r="N217" s="5" t="s">
        <v>2</v>
      </c>
      <c r="O217" s="5" t="s">
        <v>2</v>
      </c>
      <c r="P217" s="6">
        <v>19.61</v>
      </c>
      <c r="Q217" s="5" t="s">
        <v>2</v>
      </c>
      <c r="R217" s="18" t="s">
        <v>2</v>
      </c>
      <c r="S217" s="18" t="s">
        <v>2</v>
      </c>
      <c r="T217" s="12">
        <v>2.5499999999999998</v>
      </c>
      <c r="U217" s="13">
        <f t="shared" si="29"/>
        <v>22.16</v>
      </c>
      <c r="V217" s="19" t="s">
        <v>3</v>
      </c>
      <c r="X217" s="3">
        <f t="shared" si="30"/>
        <v>2.5499999999999998</v>
      </c>
    </row>
    <row r="218" spans="1:24" hidden="1" x14ac:dyDescent="0.25">
      <c r="A218" s="5" t="s">
        <v>243</v>
      </c>
      <c r="B218" s="18" t="s">
        <v>250</v>
      </c>
      <c r="C218" s="20" t="str">
        <f t="shared" si="26"/>
        <v>06</v>
      </c>
      <c r="D218" s="20" t="str">
        <f t="shared" si="27"/>
        <v>05</v>
      </c>
      <c r="E218" s="19" t="s">
        <v>21</v>
      </c>
      <c r="F218" s="19" t="s">
        <v>22</v>
      </c>
      <c r="G218" s="4" t="str">
        <f t="shared" si="28"/>
        <v>06/05/2021</v>
      </c>
      <c r="H218" s="19" t="s">
        <v>1</v>
      </c>
      <c r="I218" s="19" t="s">
        <v>0</v>
      </c>
      <c r="J218" s="5" t="s">
        <v>486</v>
      </c>
      <c r="K218" s="5" t="s">
        <v>146</v>
      </c>
      <c r="L218" s="22" t="str">
        <f>+VLOOKUP(K218,'[2]BASE DE PROVEEDORES'!$A:$B,2,0)</f>
        <v>FREUND S.A DE C.V.</v>
      </c>
      <c r="M218" s="25">
        <v>0</v>
      </c>
      <c r="N218" s="5" t="s">
        <v>2</v>
      </c>
      <c r="O218" s="5" t="s">
        <v>2</v>
      </c>
      <c r="P218" s="6">
        <v>240.03</v>
      </c>
      <c r="Q218" s="5" t="s">
        <v>2</v>
      </c>
      <c r="R218" s="18" t="s">
        <v>2</v>
      </c>
      <c r="S218" s="18" t="s">
        <v>2</v>
      </c>
      <c r="T218" s="12">
        <v>31.2</v>
      </c>
      <c r="U218" s="13">
        <f t="shared" si="29"/>
        <v>271.23</v>
      </c>
      <c r="V218" s="19" t="s">
        <v>3</v>
      </c>
      <c r="X218" s="3">
        <f t="shared" si="30"/>
        <v>31.2</v>
      </c>
    </row>
    <row r="219" spans="1:24" hidden="1" x14ac:dyDescent="0.25">
      <c r="A219" s="5" t="s">
        <v>243</v>
      </c>
      <c r="B219" s="18" t="s">
        <v>441</v>
      </c>
      <c r="C219" s="20" t="str">
        <f t="shared" si="26"/>
        <v>07</v>
      </c>
      <c r="D219" s="20" t="str">
        <f t="shared" si="27"/>
        <v>05</v>
      </c>
      <c r="E219" s="19" t="s">
        <v>21</v>
      </c>
      <c r="F219" s="19" t="s">
        <v>22</v>
      </c>
      <c r="G219" s="4" t="str">
        <f t="shared" si="28"/>
        <v>07/05/2021</v>
      </c>
      <c r="H219" s="19" t="s">
        <v>1</v>
      </c>
      <c r="I219" s="19" t="s">
        <v>0</v>
      </c>
      <c r="J219" s="5" t="s">
        <v>442</v>
      </c>
      <c r="K219" s="5" t="s">
        <v>192</v>
      </c>
      <c r="L219" s="22" t="str">
        <f>+VLOOKUP(K219,'[2]BASE DE PROVEEDORES'!$A:$B,2,0)</f>
        <v>REPUESTOS NOE S.A DE C.V.</v>
      </c>
      <c r="M219" s="25">
        <v>0</v>
      </c>
      <c r="N219" s="5" t="s">
        <v>2</v>
      </c>
      <c r="O219" s="5" t="s">
        <v>2</v>
      </c>
      <c r="P219" s="6">
        <v>40</v>
      </c>
      <c r="Q219" s="5" t="s">
        <v>2</v>
      </c>
      <c r="R219" s="18" t="s">
        <v>2</v>
      </c>
      <c r="S219" s="18" t="s">
        <v>2</v>
      </c>
      <c r="T219" s="12">
        <v>5.2</v>
      </c>
      <c r="U219" s="13">
        <f t="shared" si="29"/>
        <v>45.2</v>
      </c>
      <c r="V219" s="19" t="s">
        <v>3</v>
      </c>
      <c r="X219" s="3">
        <f t="shared" si="30"/>
        <v>5.2</v>
      </c>
    </row>
    <row r="220" spans="1:24" hidden="1" x14ac:dyDescent="0.25">
      <c r="A220" s="5" t="s">
        <v>243</v>
      </c>
      <c r="B220" s="18" t="s">
        <v>441</v>
      </c>
      <c r="C220" s="20" t="str">
        <f t="shared" si="26"/>
        <v>07</v>
      </c>
      <c r="D220" s="20" t="str">
        <f t="shared" si="27"/>
        <v>05</v>
      </c>
      <c r="E220" s="19" t="s">
        <v>21</v>
      </c>
      <c r="F220" s="19" t="s">
        <v>22</v>
      </c>
      <c r="G220" s="4" t="str">
        <f t="shared" si="28"/>
        <v>07/05/2021</v>
      </c>
      <c r="H220" s="19" t="s">
        <v>1</v>
      </c>
      <c r="I220" s="19" t="s">
        <v>0</v>
      </c>
      <c r="J220" s="5" t="s">
        <v>470</v>
      </c>
      <c r="K220" s="5" t="s">
        <v>471</v>
      </c>
      <c r="L220" s="22" t="str">
        <f>+VLOOKUP(K220,'[2]BASE DE PROVEEDORES'!$A:$B,2,0)</f>
        <v>H. BARON S.A DE C.V.</v>
      </c>
      <c r="M220" s="25">
        <v>0</v>
      </c>
      <c r="N220" s="5" t="s">
        <v>2</v>
      </c>
      <c r="O220" s="5" t="s">
        <v>2</v>
      </c>
      <c r="P220" s="6">
        <v>704.65</v>
      </c>
      <c r="Q220" s="5" t="s">
        <v>2</v>
      </c>
      <c r="R220" s="18" t="s">
        <v>2</v>
      </c>
      <c r="S220" s="18" t="s">
        <v>2</v>
      </c>
      <c r="T220" s="12">
        <v>91.6</v>
      </c>
      <c r="U220" s="13">
        <f t="shared" si="29"/>
        <v>796.25</v>
      </c>
      <c r="V220" s="19" t="s">
        <v>3</v>
      </c>
      <c r="X220" s="3">
        <f t="shared" si="30"/>
        <v>91.6</v>
      </c>
    </row>
    <row r="221" spans="1:24" hidden="1" x14ac:dyDescent="0.25">
      <c r="A221" s="5" t="s">
        <v>243</v>
      </c>
      <c r="B221" s="18" t="s">
        <v>276</v>
      </c>
      <c r="C221" s="20" t="str">
        <f t="shared" si="26"/>
        <v>08</v>
      </c>
      <c r="D221" s="20" t="str">
        <f t="shared" si="27"/>
        <v>05</v>
      </c>
      <c r="E221" s="19" t="s">
        <v>21</v>
      </c>
      <c r="F221" s="19" t="s">
        <v>22</v>
      </c>
      <c r="G221" s="4" t="str">
        <f t="shared" si="28"/>
        <v>08/05/2021</v>
      </c>
      <c r="H221" s="19" t="s">
        <v>1</v>
      </c>
      <c r="I221" s="19" t="s">
        <v>0</v>
      </c>
      <c r="J221" s="5" t="s">
        <v>275</v>
      </c>
      <c r="K221" s="5" t="s">
        <v>55</v>
      </c>
      <c r="L221" s="22" t="str">
        <f>+VLOOKUP(K221,'[2]BASE DE PROVEEDORES'!$A:$B,2,0)</f>
        <v xml:space="preserve">DISTRIBUIDORA DE LUBRICANTES Y COMBUSTIBLES S.A DE C.V </v>
      </c>
      <c r="M221" s="25">
        <f>4.09+2.04</f>
        <v>6.13</v>
      </c>
      <c r="N221" s="5" t="s">
        <v>2</v>
      </c>
      <c r="O221" s="5" t="s">
        <v>2</v>
      </c>
      <c r="P221" s="6">
        <v>45.62</v>
      </c>
      <c r="Q221" s="5" t="s">
        <v>2</v>
      </c>
      <c r="R221" s="18" t="s">
        <v>2</v>
      </c>
      <c r="S221" s="18" t="s">
        <v>2</v>
      </c>
      <c r="T221" s="12">
        <v>5.93</v>
      </c>
      <c r="U221" s="13">
        <f t="shared" si="29"/>
        <v>57.68</v>
      </c>
      <c r="V221" s="19" t="s">
        <v>3</v>
      </c>
      <c r="X221" s="3">
        <f t="shared" si="30"/>
        <v>5.93</v>
      </c>
    </row>
    <row r="222" spans="1:24" hidden="1" x14ac:dyDescent="0.25">
      <c r="A222" s="5" t="s">
        <v>243</v>
      </c>
      <c r="B222" s="18" t="s">
        <v>276</v>
      </c>
      <c r="C222" s="20" t="str">
        <f t="shared" si="26"/>
        <v>08</v>
      </c>
      <c r="D222" s="20" t="str">
        <f t="shared" si="27"/>
        <v>05</v>
      </c>
      <c r="E222" s="19" t="s">
        <v>21</v>
      </c>
      <c r="F222" s="19" t="s">
        <v>22</v>
      </c>
      <c r="G222" s="4" t="str">
        <f t="shared" si="28"/>
        <v>08/05/2021</v>
      </c>
      <c r="H222" s="19" t="s">
        <v>1</v>
      </c>
      <c r="I222" s="19" t="s">
        <v>0</v>
      </c>
      <c r="J222" s="5" t="s">
        <v>277</v>
      </c>
      <c r="K222" s="5" t="s">
        <v>55</v>
      </c>
      <c r="L222" s="22" t="str">
        <f>+VLOOKUP(K222,'[2]BASE DE PROVEEDORES'!$A:$B,2,0)</f>
        <v xml:space="preserve">DISTRIBUIDORA DE LUBRICANTES Y COMBUSTIBLES S.A DE C.V </v>
      </c>
      <c r="M222" s="25">
        <f>12.37+6.18</f>
        <v>18.549999999999997</v>
      </c>
      <c r="N222" s="5" t="s">
        <v>2</v>
      </c>
      <c r="O222" s="5" t="s">
        <v>2</v>
      </c>
      <c r="P222" s="6">
        <v>137.99</v>
      </c>
      <c r="Q222" s="5" t="s">
        <v>2</v>
      </c>
      <c r="R222" s="18" t="s">
        <v>2</v>
      </c>
      <c r="S222" s="18" t="s">
        <v>2</v>
      </c>
      <c r="T222" s="12">
        <v>17.940000000000001</v>
      </c>
      <c r="U222" s="13">
        <f t="shared" si="29"/>
        <v>174.48000000000002</v>
      </c>
      <c r="V222" s="19" t="s">
        <v>3</v>
      </c>
      <c r="X222" s="3">
        <f t="shared" si="30"/>
        <v>17.940000000000001</v>
      </c>
    </row>
    <row r="223" spans="1:24" hidden="1" x14ac:dyDescent="0.25">
      <c r="A223" s="5" t="s">
        <v>243</v>
      </c>
      <c r="B223" s="18" t="s">
        <v>276</v>
      </c>
      <c r="C223" s="20" t="str">
        <f t="shared" si="26"/>
        <v>08</v>
      </c>
      <c r="D223" s="20" t="str">
        <f t="shared" si="27"/>
        <v>05</v>
      </c>
      <c r="E223" s="19" t="s">
        <v>21</v>
      </c>
      <c r="F223" s="19" t="s">
        <v>22</v>
      </c>
      <c r="G223" s="4" t="str">
        <f t="shared" si="28"/>
        <v>08/05/2021</v>
      </c>
      <c r="H223" s="19" t="s">
        <v>1</v>
      </c>
      <c r="I223" s="19" t="s">
        <v>0</v>
      </c>
      <c r="J223" s="5" t="s">
        <v>278</v>
      </c>
      <c r="K223" s="5" t="s">
        <v>55</v>
      </c>
      <c r="L223" s="22" t="str">
        <f>+VLOOKUP(K223,'[2]BASE DE PROVEEDORES'!$A:$B,2,0)</f>
        <v xml:space="preserve">DISTRIBUIDORA DE LUBRICANTES Y COMBUSTIBLES S.A DE C.V </v>
      </c>
      <c r="M223" s="25">
        <f>2.85+1.42</f>
        <v>4.2699999999999996</v>
      </c>
      <c r="N223" s="5" t="s">
        <v>2</v>
      </c>
      <c r="O223" s="5" t="s">
        <v>2</v>
      </c>
      <c r="P223" s="6">
        <v>31.77</v>
      </c>
      <c r="Q223" s="5" t="s">
        <v>2</v>
      </c>
      <c r="R223" s="18" t="s">
        <v>2</v>
      </c>
      <c r="S223" s="18" t="s">
        <v>2</v>
      </c>
      <c r="T223" s="12">
        <v>4.13</v>
      </c>
      <c r="U223" s="13">
        <f t="shared" si="29"/>
        <v>40.17</v>
      </c>
      <c r="V223" s="19" t="s">
        <v>3</v>
      </c>
      <c r="X223" s="3">
        <f t="shared" si="30"/>
        <v>4.13</v>
      </c>
    </row>
    <row r="224" spans="1:24" hidden="1" x14ac:dyDescent="0.25">
      <c r="A224" s="5" t="s">
        <v>243</v>
      </c>
      <c r="B224" s="18" t="s">
        <v>276</v>
      </c>
      <c r="C224" s="20" t="str">
        <f t="shared" si="26"/>
        <v>08</v>
      </c>
      <c r="D224" s="20" t="str">
        <f t="shared" si="27"/>
        <v>05</v>
      </c>
      <c r="E224" s="19" t="s">
        <v>21</v>
      </c>
      <c r="F224" s="19" t="s">
        <v>22</v>
      </c>
      <c r="G224" s="4" t="str">
        <f t="shared" si="28"/>
        <v>08/05/2021</v>
      </c>
      <c r="H224" s="19" t="s">
        <v>1</v>
      </c>
      <c r="I224" s="19" t="s">
        <v>0</v>
      </c>
      <c r="J224" s="5" t="s">
        <v>314</v>
      </c>
      <c r="K224" s="5" t="s">
        <v>55</v>
      </c>
      <c r="L224" s="22" t="str">
        <f>+VLOOKUP(K224,'[2]BASE DE PROVEEDORES'!$A:$B,2,0)</f>
        <v xml:space="preserve">DISTRIBUIDORA DE LUBRICANTES Y COMBUSTIBLES S.A DE C.V </v>
      </c>
      <c r="M224" s="25">
        <f>3.12+1.56</f>
        <v>4.68</v>
      </c>
      <c r="N224" s="5" t="s">
        <v>2</v>
      </c>
      <c r="O224" s="5" t="s">
        <v>2</v>
      </c>
      <c r="P224" s="6">
        <v>34.85</v>
      </c>
      <c r="Q224" s="5" t="s">
        <v>2</v>
      </c>
      <c r="R224" s="18" t="s">
        <v>2</v>
      </c>
      <c r="S224" s="18" t="s">
        <v>2</v>
      </c>
      <c r="T224" s="12">
        <v>4.53</v>
      </c>
      <c r="U224" s="13">
        <f t="shared" si="29"/>
        <v>44.06</v>
      </c>
      <c r="V224" s="19" t="s">
        <v>3</v>
      </c>
      <c r="X224" s="3">
        <f t="shared" si="30"/>
        <v>4.53</v>
      </c>
    </row>
    <row r="225" spans="1:24" hidden="1" x14ac:dyDescent="0.25">
      <c r="A225" s="5" t="s">
        <v>243</v>
      </c>
      <c r="B225" s="18" t="s">
        <v>276</v>
      </c>
      <c r="C225" s="20" t="str">
        <f t="shared" si="26"/>
        <v>08</v>
      </c>
      <c r="D225" s="20" t="str">
        <f t="shared" si="27"/>
        <v>05</v>
      </c>
      <c r="E225" s="19" t="s">
        <v>21</v>
      </c>
      <c r="F225" s="19" t="s">
        <v>22</v>
      </c>
      <c r="G225" s="4" t="str">
        <f t="shared" si="28"/>
        <v>08/05/2021</v>
      </c>
      <c r="H225" s="19" t="s">
        <v>1</v>
      </c>
      <c r="I225" s="19" t="s">
        <v>0</v>
      </c>
      <c r="J225" s="5" t="s">
        <v>330</v>
      </c>
      <c r="K225" s="5" t="s">
        <v>55</v>
      </c>
      <c r="L225" s="22" t="str">
        <f>+VLOOKUP(K225,'[2]BASE DE PROVEEDORES'!$A:$B,2,0)</f>
        <v xml:space="preserve">DISTRIBUIDORA DE LUBRICANTES Y COMBUSTIBLES S.A DE C.V </v>
      </c>
      <c r="M225" s="25">
        <f>12.12+6.06</f>
        <v>18.18</v>
      </c>
      <c r="N225" s="5" t="s">
        <v>2</v>
      </c>
      <c r="O225" s="5" t="s">
        <v>2</v>
      </c>
      <c r="P225" s="6">
        <v>135.01</v>
      </c>
      <c r="Q225" s="5" t="s">
        <v>2</v>
      </c>
      <c r="R225" s="18" t="s">
        <v>2</v>
      </c>
      <c r="S225" s="18" t="s">
        <v>2</v>
      </c>
      <c r="T225" s="12">
        <v>17.55</v>
      </c>
      <c r="U225" s="13">
        <f t="shared" si="29"/>
        <v>170.74</v>
      </c>
      <c r="V225" s="19" t="s">
        <v>3</v>
      </c>
      <c r="X225" s="3">
        <f t="shared" si="30"/>
        <v>17.55</v>
      </c>
    </row>
    <row r="226" spans="1:24" hidden="1" x14ac:dyDescent="0.25">
      <c r="A226" s="5" t="s">
        <v>243</v>
      </c>
      <c r="B226" s="18" t="s">
        <v>276</v>
      </c>
      <c r="C226" s="20" t="str">
        <f t="shared" si="26"/>
        <v>08</v>
      </c>
      <c r="D226" s="20" t="str">
        <f t="shared" si="27"/>
        <v>05</v>
      </c>
      <c r="E226" s="19" t="s">
        <v>21</v>
      </c>
      <c r="F226" s="19" t="s">
        <v>22</v>
      </c>
      <c r="G226" s="4" t="str">
        <f t="shared" si="28"/>
        <v>08/05/2021</v>
      </c>
      <c r="H226" s="19" t="s">
        <v>1</v>
      </c>
      <c r="I226" s="19" t="s">
        <v>0</v>
      </c>
      <c r="J226" s="5" t="s">
        <v>388</v>
      </c>
      <c r="K226" s="5" t="s">
        <v>386</v>
      </c>
      <c r="L226" s="22" t="str">
        <f>+VLOOKUP(K226,'[2]BASE DE PROVEEDORES'!$A:$B,2,0)</f>
        <v>LUIS ALFREDO VENTURA ELVIR</v>
      </c>
      <c r="M226" s="25">
        <v>1.5</v>
      </c>
      <c r="N226" s="5" t="s">
        <v>2</v>
      </c>
      <c r="O226" s="5" t="s">
        <v>2</v>
      </c>
      <c r="P226" s="6">
        <v>11.83</v>
      </c>
      <c r="Q226" s="5" t="s">
        <v>2</v>
      </c>
      <c r="R226" s="18" t="s">
        <v>2</v>
      </c>
      <c r="S226" s="18" t="s">
        <v>2</v>
      </c>
      <c r="T226" s="12">
        <v>1.54</v>
      </c>
      <c r="U226" s="13">
        <f t="shared" si="29"/>
        <v>14.870000000000001</v>
      </c>
      <c r="V226" s="19" t="s">
        <v>3</v>
      </c>
      <c r="X226" s="3">
        <f t="shared" si="30"/>
        <v>1.54</v>
      </c>
    </row>
    <row r="227" spans="1:24" hidden="1" x14ac:dyDescent="0.25">
      <c r="A227" s="5" t="s">
        <v>243</v>
      </c>
      <c r="B227" s="18" t="s">
        <v>276</v>
      </c>
      <c r="C227" s="20" t="str">
        <f t="shared" ref="C227:C258" si="31">+LEFT(B227,2)</f>
        <v>08</v>
      </c>
      <c r="D227" s="20" t="str">
        <f t="shared" ref="D227:D258" si="32">+RIGHT(B227,2)</f>
        <v>05</v>
      </c>
      <c r="E227" s="19" t="s">
        <v>21</v>
      </c>
      <c r="F227" s="19" t="s">
        <v>22</v>
      </c>
      <c r="G227" s="4" t="str">
        <f t="shared" ref="G227:G258" si="33">+C227&amp;F227&amp;D227&amp;F227&amp;E227</f>
        <v>08/05/2021</v>
      </c>
      <c r="H227" s="19" t="s">
        <v>1</v>
      </c>
      <c r="I227" s="19" t="s">
        <v>0</v>
      </c>
      <c r="J227" s="5" t="s">
        <v>297</v>
      </c>
      <c r="K227" s="5" t="s">
        <v>32</v>
      </c>
      <c r="L227" s="22" t="str">
        <f>+VLOOKUP(K227,'[2]BASE DE PROVEEDORES'!$A:$B,2,0)</f>
        <v>ALEJANDRO FRANCISCO MONTOYA GIRON</v>
      </c>
      <c r="M227" s="25">
        <v>2.41</v>
      </c>
      <c r="N227" s="5" t="s">
        <v>2</v>
      </c>
      <c r="O227" s="5" t="s">
        <v>2</v>
      </c>
      <c r="P227" s="6">
        <v>24.35</v>
      </c>
      <c r="Q227" s="5" t="s">
        <v>2</v>
      </c>
      <c r="R227" s="18" t="s">
        <v>2</v>
      </c>
      <c r="S227" s="18" t="s">
        <v>2</v>
      </c>
      <c r="T227" s="12">
        <v>3.17</v>
      </c>
      <c r="U227" s="13">
        <f t="shared" ref="U227:U258" si="34">+M227+P227+T227</f>
        <v>29.93</v>
      </c>
      <c r="V227" s="19" t="s">
        <v>3</v>
      </c>
      <c r="X227" s="3">
        <f t="shared" ref="X227:X258" si="35">+ROUND(T227,2)</f>
        <v>3.17</v>
      </c>
    </row>
    <row r="228" spans="1:24" hidden="1" x14ac:dyDescent="0.25">
      <c r="A228" s="5" t="s">
        <v>243</v>
      </c>
      <c r="B228" s="18" t="s">
        <v>276</v>
      </c>
      <c r="C228" s="20" t="str">
        <f t="shared" si="31"/>
        <v>08</v>
      </c>
      <c r="D228" s="20" t="str">
        <f t="shared" si="32"/>
        <v>05</v>
      </c>
      <c r="E228" s="19" t="s">
        <v>21</v>
      </c>
      <c r="F228" s="19" t="s">
        <v>22</v>
      </c>
      <c r="G228" s="4" t="str">
        <f t="shared" si="33"/>
        <v>08/05/2021</v>
      </c>
      <c r="H228" s="19" t="s">
        <v>1</v>
      </c>
      <c r="I228" s="19" t="s">
        <v>0</v>
      </c>
      <c r="J228" s="5" t="s">
        <v>416</v>
      </c>
      <c r="K228" s="5" t="s">
        <v>386</v>
      </c>
      <c r="L228" s="22" t="str">
        <f>+VLOOKUP(K228,'[2]BASE DE PROVEEDORES'!$A:$B,2,0)</f>
        <v>LUIS ALFREDO VENTURA ELVIR</v>
      </c>
      <c r="M228" s="25">
        <f>0.93+0.47</f>
        <v>1.4</v>
      </c>
      <c r="N228" s="5" t="s">
        <v>2</v>
      </c>
      <c r="O228" s="5" t="s">
        <v>2</v>
      </c>
      <c r="P228" s="6">
        <v>11.03</v>
      </c>
      <c r="Q228" s="5" t="s">
        <v>2</v>
      </c>
      <c r="R228" s="18" t="s">
        <v>2</v>
      </c>
      <c r="S228" s="18" t="s">
        <v>2</v>
      </c>
      <c r="T228" s="12">
        <v>1.43</v>
      </c>
      <c r="U228" s="13">
        <f t="shared" si="34"/>
        <v>13.86</v>
      </c>
      <c r="V228" s="19" t="s">
        <v>3</v>
      </c>
      <c r="X228" s="3">
        <f t="shared" si="35"/>
        <v>1.43</v>
      </c>
    </row>
    <row r="229" spans="1:24" hidden="1" x14ac:dyDescent="0.25">
      <c r="A229" s="5" t="s">
        <v>243</v>
      </c>
      <c r="B229" s="18" t="s">
        <v>438</v>
      </c>
      <c r="C229" s="20" t="str">
        <f t="shared" si="31"/>
        <v>09</v>
      </c>
      <c r="D229" s="20" t="str">
        <f t="shared" si="32"/>
        <v>05</v>
      </c>
      <c r="E229" s="19" t="s">
        <v>21</v>
      </c>
      <c r="F229" s="19" t="s">
        <v>22</v>
      </c>
      <c r="G229" s="4" t="str">
        <f t="shared" si="33"/>
        <v>09/05/2021</v>
      </c>
      <c r="H229" s="19" t="s">
        <v>1</v>
      </c>
      <c r="I229" s="19" t="s">
        <v>0</v>
      </c>
      <c r="J229" s="5" t="s">
        <v>439</v>
      </c>
      <c r="K229" s="5" t="s">
        <v>242</v>
      </c>
      <c r="L229" s="22" t="str">
        <f>+VLOOKUP(K229,'[2]BASE DE PROVEEDORES'!$A:$B,2,0)</f>
        <v>ALSI S.A DE C.V.</v>
      </c>
      <c r="M229" s="25">
        <v>0</v>
      </c>
      <c r="N229" s="5" t="s">
        <v>2</v>
      </c>
      <c r="O229" s="5" t="s">
        <v>2</v>
      </c>
      <c r="P229" s="6">
        <v>61.5</v>
      </c>
      <c r="Q229" s="5" t="s">
        <v>2</v>
      </c>
      <c r="R229" s="18" t="s">
        <v>2</v>
      </c>
      <c r="S229" s="18" t="s">
        <v>2</v>
      </c>
      <c r="T229" s="12">
        <v>8</v>
      </c>
      <c r="U229" s="13">
        <f t="shared" si="34"/>
        <v>69.5</v>
      </c>
      <c r="V229" s="19" t="s">
        <v>3</v>
      </c>
      <c r="X229" s="3">
        <f t="shared" si="35"/>
        <v>8</v>
      </c>
    </row>
    <row r="230" spans="1:24" hidden="1" x14ac:dyDescent="0.25">
      <c r="A230" s="5" t="s">
        <v>243</v>
      </c>
      <c r="B230" s="18" t="s">
        <v>248</v>
      </c>
      <c r="C230" s="20" t="str">
        <f t="shared" si="31"/>
        <v>10</v>
      </c>
      <c r="D230" s="20" t="str">
        <f t="shared" si="32"/>
        <v>05</v>
      </c>
      <c r="E230" s="19" t="s">
        <v>21</v>
      </c>
      <c r="F230" s="19" t="s">
        <v>22</v>
      </c>
      <c r="G230" s="4" t="str">
        <f t="shared" si="33"/>
        <v>10/05/2021</v>
      </c>
      <c r="H230" s="19" t="s">
        <v>1</v>
      </c>
      <c r="I230" s="19" t="s">
        <v>0</v>
      </c>
      <c r="J230" s="5" t="s">
        <v>249</v>
      </c>
      <c r="K230" s="5" t="s">
        <v>55</v>
      </c>
      <c r="L230" s="22" t="str">
        <f>+VLOOKUP(K230,'[2]BASE DE PROVEEDORES'!$A:$B,2,0)</f>
        <v xml:space="preserve">DISTRIBUIDORA DE LUBRICANTES Y COMBUSTIBLES S.A DE C.V </v>
      </c>
      <c r="M230" s="25">
        <f>2.31+1.15</f>
        <v>3.46</v>
      </c>
      <c r="N230" s="5" t="s">
        <v>2</v>
      </c>
      <c r="O230" s="5" t="s">
        <v>2</v>
      </c>
      <c r="P230" s="6">
        <v>25.78</v>
      </c>
      <c r="Q230" s="5" t="s">
        <v>2</v>
      </c>
      <c r="R230" s="18" t="s">
        <v>2</v>
      </c>
      <c r="S230" s="18" t="s">
        <v>2</v>
      </c>
      <c r="T230" s="12">
        <v>3.35</v>
      </c>
      <c r="U230" s="13">
        <f t="shared" si="34"/>
        <v>32.590000000000003</v>
      </c>
      <c r="V230" s="19" t="s">
        <v>3</v>
      </c>
      <c r="X230" s="3">
        <f t="shared" si="35"/>
        <v>3.35</v>
      </c>
    </row>
    <row r="231" spans="1:24" hidden="1" x14ac:dyDescent="0.25">
      <c r="A231" s="5" t="s">
        <v>243</v>
      </c>
      <c r="B231" s="18" t="s">
        <v>248</v>
      </c>
      <c r="C231" s="20" t="str">
        <f t="shared" si="31"/>
        <v>10</v>
      </c>
      <c r="D231" s="20" t="str">
        <f t="shared" si="32"/>
        <v>05</v>
      </c>
      <c r="E231" s="19" t="s">
        <v>21</v>
      </c>
      <c r="F231" s="19" t="s">
        <v>22</v>
      </c>
      <c r="G231" s="4" t="str">
        <f t="shared" si="33"/>
        <v>10/05/2021</v>
      </c>
      <c r="H231" s="19" t="s">
        <v>1</v>
      </c>
      <c r="I231" s="19" t="s">
        <v>0</v>
      </c>
      <c r="J231" s="5" t="s">
        <v>284</v>
      </c>
      <c r="K231" s="5" t="s">
        <v>55</v>
      </c>
      <c r="L231" s="22" t="str">
        <f>+VLOOKUP(K231,'[2]BASE DE PROVEEDORES'!$A:$B,2,0)</f>
        <v xml:space="preserve">DISTRIBUIDORA DE LUBRICANTES Y COMBUSTIBLES S.A DE C.V </v>
      </c>
      <c r="M231" s="25">
        <f>12.71+6.35</f>
        <v>19.060000000000002</v>
      </c>
      <c r="N231" s="5" t="s">
        <v>2</v>
      </c>
      <c r="O231" s="5" t="s">
        <v>2</v>
      </c>
      <c r="P231" s="6">
        <v>141.78</v>
      </c>
      <c r="Q231" s="5" t="s">
        <v>2</v>
      </c>
      <c r="R231" s="18" t="s">
        <v>2</v>
      </c>
      <c r="S231" s="18" t="s">
        <v>2</v>
      </c>
      <c r="T231" s="12">
        <v>18.43</v>
      </c>
      <c r="U231" s="13">
        <f t="shared" si="34"/>
        <v>179.27</v>
      </c>
      <c r="V231" s="19" t="s">
        <v>3</v>
      </c>
      <c r="X231" s="3">
        <f t="shared" si="35"/>
        <v>18.43</v>
      </c>
    </row>
    <row r="232" spans="1:24" hidden="1" x14ac:dyDescent="0.25">
      <c r="A232" s="5" t="s">
        <v>243</v>
      </c>
      <c r="B232" s="18" t="s">
        <v>248</v>
      </c>
      <c r="C232" s="20" t="str">
        <f t="shared" si="31"/>
        <v>10</v>
      </c>
      <c r="D232" s="20" t="str">
        <f t="shared" si="32"/>
        <v>05</v>
      </c>
      <c r="E232" s="19" t="s">
        <v>21</v>
      </c>
      <c r="F232" s="19" t="s">
        <v>22</v>
      </c>
      <c r="G232" s="4" t="str">
        <f t="shared" si="33"/>
        <v>10/05/2021</v>
      </c>
      <c r="H232" s="19" t="s">
        <v>1</v>
      </c>
      <c r="I232" s="19" t="s">
        <v>0</v>
      </c>
      <c r="J232" s="5" t="s">
        <v>285</v>
      </c>
      <c r="K232" s="5" t="s">
        <v>55</v>
      </c>
      <c r="L232" s="22" t="str">
        <f>+VLOOKUP(K232,'[2]BASE DE PROVEEDORES'!$A:$B,2,0)</f>
        <v xml:space="preserve">DISTRIBUIDORA DE LUBRICANTES Y COMBUSTIBLES S.A DE C.V </v>
      </c>
      <c r="M232" s="25">
        <f>27.03+13.51</f>
        <v>40.54</v>
      </c>
      <c r="N232" s="5" t="s">
        <v>2</v>
      </c>
      <c r="O232" s="5" t="s">
        <v>2</v>
      </c>
      <c r="P232" s="6">
        <v>301.27999999999997</v>
      </c>
      <c r="Q232" s="5" t="s">
        <v>2</v>
      </c>
      <c r="R232" s="18" t="s">
        <v>2</v>
      </c>
      <c r="S232" s="18" t="s">
        <v>2</v>
      </c>
      <c r="T232" s="12">
        <v>39.17</v>
      </c>
      <c r="U232" s="13">
        <f t="shared" si="34"/>
        <v>380.99</v>
      </c>
      <c r="V232" s="19" t="s">
        <v>3</v>
      </c>
      <c r="X232" s="3">
        <f t="shared" si="35"/>
        <v>39.17</v>
      </c>
    </row>
    <row r="233" spans="1:24" hidden="1" x14ac:dyDescent="0.25">
      <c r="A233" s="5" t="s">
        <v>243</v>
      </c>
      <c r="B233" s="18" t="s">
        <v>248</v>
      </c>
      <c r="C233" s="20" t="str">
        <f t="shared" si="31"/>
        <v>10</v>
      </c>
      <c r="D233" s="20" t="str">
        <f t="shared" si="32"/>
        <v>05</v>
      </c>
      <c r="E233" s="19" t="s">
        <v>21</v>
      </c>
      <c r="F233" s="19" t="s">
        <v>22</v>
      </c>
      <c r="G233" s="4" t="str">
        <f t="shared" si="33"/>
        <v>10/05/2021</v>
      </c>
      <c r="H233" s="19" t="s">
        <v>1</v>
      </c>
      <c r="I233" s="19" t="s">
        <v>0</v>
      </c>
      <c r="J233" s="5" t="s">
        <v>286</v>
      </c>
      <c r="K233" s="5" t="s">
        <v>55</v>
      </c>
      <c r="L233" s="22" t="str">
        <f>+VLOOKUP(K233,'[2]BASE DE PROVEEDORES'!$A:$B,2,0)</f>
        <v xml:space="preserve">DISTRIBUIDORA DE LUBRICANTES Y COMBUSTIBLES S.A DE C.V </v>
      </c>
      <c r="M233" s="25">
        <f>10.43+5.21</f>
        <v>15.64</v>
      </c>
      <c r="N233" s="5" t="s">
        <v>2</v>
      </c>
      <c r="O233" s="5" t="s">
        <v>2</v>
      </c>
      <c r="P233" s="6">
        <v>116.33</v>
      </c>
      <c r="Q233" s="5" t="s">
        <v>2</v>
      </c>
      <c r="R233" s="18" t="s">
        <v>2</v>
      </c>
      <c r="S233" s="18" t="s">
        <v>2</v>
      </c>
      <c r="T233" s="12">
        <v>15.12</v>
      </c>
      <c r="U233" s="13">
        <f t="shared" si="34"/>
        <v>147.09</v>
      </c>
      <c r="V233" s="19" t="s">
        <v>3</v>
      </c>
      <c r="X233" s="3">
        <f t="shared" si="35"/>
        <v>15.12</v>
      </c>
    </row>
    <row r="234" spans="1:24" hidden="1" x14ac:dyDescent="0.25">
      <c r="A234" s="5" t="s">
        <v>243</v>
      </c>
      <c r="B234" s="18" t="s">
        <v>248</v>
      </c>
      <c r="C234" s="20" t="str">
        <f t="shared" si="31"/>
        <v>10</v>
      </c>
      <c r="D234" s="20" t="str">
        <f t="shared" si="32"/>
        <v>05</v>
      </c>
      <c r="E234" s="19" t="s">
        <v>21</v>
      </c>
      <c r="F234" s="19" t="s">
        <v>22</v>
      </c>
      <c r="G234" s="4" t="str">
        <f t="shared" si="33"/>
        <v>10/05/2021</v>
      </c>
      <c r="H234" s="19" t="s">
        <v>1</v>
      </c>
      <c r="I234" s="19" t="s">
        <v>0</v>
      </c>
      <c r="J234" s="5" t="s">
        <v>328</v>
      </c>
      <c r="K234" s="5" t="s">
        <v>55</v>
      </c>
      <c r="L234" s="22" t="str">
        <f>+VLOOKUP(K234,'[2]BASE DE PROVEEDORES'!$A:$B,2,0)</f>
        <v xml:space="preserve">DISTRIBUIDORA DE LUBRICANTES Y COMBUSTIBLES S.A DE C.V </v>
      </c>
      <c r="M234" s="25">
        <f>6.84+3.42</f>
        <v>10.26</v>
      </c>
      <c r="N234" s="5" t="s">
        <v>2</v>
      </c>
      <c r="O234" s="5" t="s">
        <v>2</v>
      </c>
      <c r="P234" s="6">
        <v>76.349999999999994</v>
      </c>
      <c r="Q234" s="5" t="s">
        <v>2</v>
      </c>
      <c r="R234" s="18" t="s">
        <v>2</v>
      </c>
      <c r="S234" s="18" t="s">
        <v>2</v>
      </c>
      <c r="T234" s="12">
        <v>9.93</v>
      </c>
      <c r="U234" s="13">
        <f t="shared" si="34"/>
        <v>96.539999999999992</v>
      </c>
      <c r="V234" s="19" t="s">
        <v>3</v>
      </c>
      <c r="X234" s="3">
        <f t="shared" si="35"/>
        <v>9.93</v>
      </c>
    </row>
    <row r="235" spans="1:24" hidden="1" x14ac:dyDescent="0.25">
      <c r="A235" s="5" t="s">
        <v>243</v>
      </c>
      <c r="B235" s="18" t="s">
        <v>248</v>
      </c>
      <c r="C235" s="20" t="str">
        <f t="shared" si="31"/>
        <v>10</v>
      </c>
      <c r="D235" s="20" t="str">
        <f t="shared" si="32"/>
        <v>05</v>
      </c>
      <c r="E235" s="19" t="s">
        <v>21</v>
      </c>
      <c r="F235" s="19" t="s">
        <v>22</v>
      </c>
      <c r="G235" s="4" t="str">
        <f t="shared" si="33"/>
        <v>10/05/2021</v>
      </c>
      <c r="H235" s="19" t="s">
        <v>1</v>
      </c>
      <c r="I235" s="19" t="s">
        <v>0</v>
      </c>
      <c r="J235" s="5" t="s">
        <v>481</v>
      </c>
      <c r="K235" s="5" t="s">
        <v>482</v>
      </c>
      <c r="L235" s="22" t="str">
        <f>+VLOOKUP(K235,'[2]BASE DE PROVEEDORES'!$A:$B,2,0)</f>
        <v>ROSA AUTOPARTS S.A DE C.V.</v>
      </c>
      <c r="M235" s="25">
        <v>0</v>
      </c>
      <c r="N235" s="5" t="s">
        <v>2</v>
      </c>
      <c r="O235" s="5" t="s">
        <v>2</v>
      </c>
      <c r="P235" s="6">
        <v>221.24</v>
      </c>
      <c r="Q235" s="5" t="s">
        <v>2</v>
      </c>
      <c r="R235" s="18" t="s">
        <v>2</v>
      </c>
      <c r="S235" s="18" t="s">
        <v>2</v>
      </c>
      <c r="T235" s="12">
        <v>28.76</v>
      </c>
      <c r="U235" s="13">
        <f t="shared" si="34"/>
        <v>250</v>
      </c>
      <c r="V235" s="19" t="s">
        <v>3</v>
      </c>
      <c r="X235" s="3">
        <f t="shared" si="35"/>
        <v>28.76</v>
      </c>
    </row>
    <row r="236" spans="1:24" hidden="1" x14ac:dyDescent="0.25">
      <c r="A236" s="5" t="s">
        <v>243</v>
      </c>
      <c r="B236" s="18" t="s">
        <v>279</v>
      </c>
      <c r="C236" s="20" t="str">
        <f t="shared" si="31"/>
        <v>11</v>
      </c>
      <c r="D236" s="20" t="str">
        <f t="shared" si="32"/>
        <v>05</v>
      </c>
      <c r="E236" s="19" t="s">
        <v>21</v>
      </c>
      <c r="F236" s="19" t="s">
        <v>22</v>
      </c>
      <c r="G236" s="4" t="str">
        <f t="shared" si="33"/>
        <v>11/05/2021</v>
      </c>
      <c r="H236" s="19" t="s">
        <v>1</v>
      </c>
      <c r="I236" s="19" t="s">
        <v>0</v>
      </c>
      <c r="J236" s="5" t="s">
        <v>280</v>
      </c>
      <c r="K236" s="5" t="s">
        <v>55</v>
      </c>
      <c r="L236" s="22" t="str">
        <f>+VLOOKUP(K236,'[2]BASE DE PROVEEDORES'!$A:$B,2,0)</f>
        <v xml:space="preserve">DISTRIBUIDORA DE LUBRICANTES Y COMBUSTIBLES S.A DE C.V </v>
      </c>
      <c r="M236" s="25">
        <f>26.84+13.42</f>
        <v>40.26</v>
      </c>
      <c r="N236" s="5" t="s">
        <v>2</v>
      </c>
      <c r="O236" s="5" t="s">
        <v>2</v>
      </c>
      <c r="P236" s="6">
        <v>299.20999999999998</v>
      </c>
      <c r="Q236" s="5" t="s">
        <v>2</v>
      </c>
      <c r="R236" s="18" t="s">
        <v>2</v>
      </c>
      <c r="S236" s="18" t="s">
        <v>2</v>
      </c>
      <c r="T236" s="12">
        <v>38.9</v>
      </c>
      <c r="U236" s="13">
        <f t="shared" si="34"/>
        <v>378.36999999999995</v>
      </c>
      <c r="V236" s="19" t="s">
        <v>3</v>
      </c>
      <c r="X236" s="3">
        <f t="shared" si="35"/>
        <v>38.9</v>
      </c>
    </row>
    <row r="237" spans="1:24" hidden="1" x14ac:dyDescent="0.25">
      <c r="A237" s="5" t="s">
        <v>243</v>
      </c>
      <c r="B237" s="18" t="s">
        <v>279</v>
      </c>
      <c r="C237" s="20" t="str">
        <f t="shared" si="31"/>
        <v>11</v>
      </c>
      <c r="D237" s="20" t="str">
        <f t="shared" si="32"/>
        <v>05</v>
      </c>
      <c r="E237" s="19" t="s">
        <v>21</v>
      </c>
      <c r="F237" s="19" t="s">
        <v>22</v>
      </c>
      <c r="G237" s="4" t="str">
        <f t="shared" si="33"/>
        <v>11/05/2021</v>
      </c>
      <c r="H237" s="19" t="s">
        <v>1</v>
      </c>
      <c r="I237" s="19" t="s">
        <v>0</v>
      </c>
      <c r="J237" s="5" t="s">
        <v>281</v>
      </c>
      <c r="K237" s="5" t="s">
        <v>55</v>
      </c>
      <c r="L237" s="22" t="str">
        <f>+VLOOKUP(K237,'[2]BASE DE PROVEEDORES'!$A:$B,2,0)</f>
        <v xml:space="preserve">DISTRIBUIDORA DE LUBRICANTES Y COMBUSTIBLES S.A DE C.V </v>
      </c>
      <c r="M237" s="25">
        <f>3.7+1.85</f>
        <v>5.5500000000000007</v>
      </c>
      <c r="N237" s="5" t="s">
        <v>2</v>
      </c>
      <c r="O237" s="5" t="s">
        <v>2</v>
      </c>
      <c r="P237" s="6">
        <v>41.26</v>
      </c>
      <c r="Q237" s="5" t="s">
        <v>2</v>
      </c>
      <c r="R237" s="18" t="s">
        <v>2</v>
      </c>
      <c r="S237" s="18" t="s">
        <v>2</v>
      </c>
      <c r="T237" s="12">
        <v>5.36</v>
      </c>
      <c r="U237" s="13">
        <f t="shared" si="34"/>
        <v>52.17</v>
      </c>
      <c r="V237" s="19" t="s">
        <v>3</v>
      </c>
      <c r="X237" s="3">
        <f t="shared" si="35"/>
        <v>5.36</v>
      </c>
    </row>
    <row r="238" spans="1:24" hidden="1" x14ac:dyDescent="0.25">
      <c r="A238" s="5" t="s">
        <v>243</v>
      </c>
      <c r="B238" s="18" t="s">
        <v>279</v>
      </c>
      <c r="C238" s="20" t="str">
        <f t="shared" si="31"/>
        <v>11</v>
      </c>
      <c r="D238" s="20" t="str">
        <f t="shared" si="32"/>
        <v>05</v>
      </c>
      <c r="E238" s="19" t="s">
        <v>21</v>
      </c>
      <c r="F238" s="19" t="s">
        <v>22</v>
      </c>
      <c r="G238" s="4" t="str">
        <f t="shared" si="33"/>
        <v>11/05/2021</v>
      </c>
      <c r="H238" s="19" t="s">
        <v>1</v>
      </c>
      <c r="I238" s="19" t="s">
        <v>0</v>
      </c>
      <c r="J238" s="5" t="s">
        <v>389</v>
      </c>
      <c r="K238" s="5" t="s">
        <v>386</v>
      </c>
      <c r="L238" s="22" t="str">
        <f>+VLOOKUP(K238,'[2]BASE DE PROVEEDORES'!$A:$B,2,0)</f>
        <v>LUIS ALFREDO VENTURA ELVIR</v>
      </c>
      <c r="M238" s="25">
        <v>3.03</v>
      </c>
      <c r="N238" s="5" t="s">
        <v>2</v>
      </c>
      <c r="O238" s="5" t="s">
        <v>2</v>
      </c>
      <c r="P238" s="6">
        <v>23.87</v>
      </c>
      <c r="Q238" s="5" t="s">
        <v>2</v>
      </c>
      <c r="R238" s="18" t="s">
        <v>2</v>
      </c>
      <c r="S238" s="18" t="s">
        <v>2</v>
      </c>
      <c r="T238" s="12">
        <v>3.1</v>
      </c>
      <c r="U238" s="13">
        <f t="shared" si="34"/>
        <v>30.000000000000004</v>
      </c>
      <c r="V238" s="19" t="s">
        <v>3</v>
      </c>
      <c r="X238" s="3">
        <f t="shared" si="35"/>
        <v>3.1</v>
      </c>
    </row>
    <row r="239" spans="1:24" hidden="1" x14ac:dyDescent="0.25">
      <c r="A239" s="5" t="s">
        <v>243</v>
      </c>
      <c r="B239" s="18" t="s">
        <v>279</v>
      </c>
      <c r="C239" s="20" t="str">
        <f t="shared" si="31"/>
        <v>11</v>
      </c>
      <c r="D239" s="20" t="str">
        <f t="shared" si="32"/>
        <v>05</v>
      </c>
      <c r="E239" s="19" t="s">
        <v>21</v>
      </c>
      <c r="F239" s="19" t="s">
        <v>22</v>
      </c>
      <c r="G239" s="4" t="str">
        <f t="shared" si="33"/>
        <v>11/05/2021</v>
      </c>
      <c r="H239" s="19" t="s">
        <v>1</v>
      </c>
      <c r="I239" s="19" t="s">
        <v>0</v>
      </c>
      <c r="J239" s="5" t="s">
        <v>440</v>
      </c>
      <c r="K239" s="5" t="s">
        <v>192</v>
      </c>
      <c r="L239" s="22" t="str">
        <f>+VLOOKUP(K239,'[2]BASE DE PROVEEDORES'!$A:$B,2,0)</f>
        <v>REPUESTOS NOE S.A DE C.V.</v>
      </c>
      <c r="M239" s="25">
        <v>0</v>
      </c>
      <c r="N239" s="5" t="s">
        <v>2</v>
      </c>
      <c r="O239" s="5" t="s">
        <v>2</v>
      </c>
      <c r="P239" s="6">
        <v>57</v>
      </c>
      <c r="Q239" s="5" t="s">
        <v>2</v>
      </c>
      <c r="R239" s="18" t="s">
        <v>2</v>
      </c>
      <c r="S239" s="18" t="s">
        <v>2</v>
      </c>
      <c r="T239" s="12">
        <v>7.41</v>
      </c>
      <c r="U239" s="13">
        <f t="shared" si="34"/>
        <v>64.41</v>
      </c>
      <c r="V239" s="19" t="s">
        <v>3</v>
      </c>
      <c r="X239" s="3">
        <f t="shared" si="35"/>
        <v>7.41</v>
      </c>
    </row>
    <row r="240" spans="1:24" hidden="1" x14ac:dyDescent="0.25">
      <c r="A240" s="5" t="s">
        <v>243</v>
      </c>
      <c r="B240" s="18" t="s">
        <v>279</v>
      </c>
      <c r="C240" s="20" t="str">
        <f t="shared" si="31"/>
        <v>11</v>
      </c>
      <c r="D240" s="20" t="str">
        <f t="shared" si="32"/>
        <v>05</v>
      </c>
      <c r="E240" s="19" t="s">
        <v>21</v>
      </c>
      <c r="F240" s="19" t="s">
        <v>22</v>
      </c>
      <c r="G240" s="4" t="str">
        <f t="shared" si="33"/>
        <v>11/05/2021</v>
      </c>
      <c r="H240" s="19" t="s">
        <v>1</v>
      </c>
      <c r="I240" s="19" t="s">
        <v>0</v>
      </c>
      <c r="J240" s="5" t="s">
        <v>444</v>
      </c>
      <c r="K240" s="5" t="s">
        <v>149</v>
      </c>
      <c r="L240" s="22" t="str">
        <f>+VLOOKUP(K240,'[2]BASE DE PROVEEDORES'!$A:$B,2,0)</f>
        <v>ALMACENES VIDRI, S.A DE C.V.</v>
      </c>
      <c r="M240" s="25">
        <v>0</v>
      </c>
      <c r="N240" s="5" t="s">
        <v>2</v>
      </c>
      <c r="O240" s="5" t="s">
        <v>2</v>
      </c>
      <c r="P240" s="6">
        <v>26.11</v>
      </c>
      <c r="Q240" s="5" t="s">
        <v>2</v>
      </c>
      <c r="R240" s="18" t="s">
        <v>2</v>
      </c>
      <c r="S240" s="18" t="s">
        <v>2</v>
      </c>
      <c r="T240" s="12">
        <v>3.39</v>
      </c>
      <c r="U240" s="13">
        <f t="shared" si="34"/>
        <v>29.5</v>
      </c>
      <c r="V240" s="19" t="s">
        <v>3</v>
      </c>
      <c r="X240" s="3">
        <f t="shared" si="35"/>
        <v>3.39</v>
      </c>
    </row>
    <row r="241" spans="1:24" hidden="1" x14ac:dyDescent="0.25">
      <c r="A241" s="5" t="s">
        <v>243</v>
      </c>
      <c r="B241" s="18" t="s">
        <v>279</v>
      </c>
      <c r="C241" s="20" t="str">
        <f t="shared" si="31"/>
        <v>11</v>
      </c>
      <c r="D241" s="20" t="str">
        <f t="shared" si="32"/>
        <v>05</v>
      </c>
      <c r="E241" s="19" t="s">
        <v>21</v>
      </c>
      <c r="F241" s="19" t="s">
        <v>22</v>
      </c>
      <c r="G241" s="4" t="str">
        <f t="shared" si="33"/>
        <v>11/05/2021</v>
      </c>
      <c r="H241" s="19" t="s">
        <v>1</v>
      </c>
      <c r="I241" s="19" t="s">
        <v>0</v>
      </c>
      <c r="J241" s="5" t="s">
        <v>445</v>
      </c>
      <c r="K241" s="5" t="s">
        <v>149</v>
      </c>
      <c r="L241" s="22" t="str">
        <f>+VLOOKUP(K241,'[2]BASE DE PROVEEDORES'!$A:$B,2,0)</f>
        <v>ALMACENES VIDRI, S.A DE C.V.</v>
      </c>
      <c r="M241" s="25">
        <v>0</v>
      </c>
      <c r="N241" s="5" t="s">
        <v>2</v>
      </c>
      <c r="O241" s="5" t="s">
        <v>2</v>
      </c>
      <c r="P241" s="6">
        <v>32.22</v>
      </c>
      <c r="Q241" s="5" t="s">
        <v>2</v>
      </c>
      <c r="R241" s="18" t="s">
        <v>2</v>
      </c>
      <c r="S241" s="18" t="s">
        <v>2</v>
      </c>
      <c r="T241" s="12">
        <v>4.1900000000000004</v>
      </c>
      <c r="U241" s="13">
        <f t="shared" si="34"/>
        <v>36.409999999999997</v>
      </c>
      <c r="V241" s="19" t="s">
        <v>3</v>
      </c>
      <c r="X241" s="3">
        <f t="shared" si="35"/>
        <v>4.1900000000000004</v>
      </c>
    </row>
    <row r="242" spans="1:24" hidden="1" x14ac:dyDescent="0.25">
      <c r="A242" s="5" t="s">
        <v>243</v>
      </c>
      <c r="B242" s="18" t="s">
        <v>287</v>
      </c>
      <c r="C242" s="20" t="str">
        <f t="shared" si="31"/>
        <v>12</v>
      </c>
      <c r="D242" s="20" t="str">
        <f t="shared" si="32"/>
        <v>05</v>
      </c>
      <c r="E242" s="19" t="s">
        <v>21</v>
      </c>
      <c r="F242" s="19" t="s">
        <v>22</v>
      </c>
      <c r="G242" s="4" t="str">
        <f t="shared" si="33"/>
        <v>12/05/2021</v>
      </c>
      <c r="H242" s="19" t="s">
        <v>1</v>
      </c>
      <c r="I242" s="19" t="s">
        <v>0</v>
      </c>
      <c r="J242" s="5" t="s">
        <v>288</v>
      </c>
      <c r="K242" s="5" t="s">
        <v>55</v>
      </c>
      <c r="L242" s="22" t="str">
        <f>+VLOOKUP(K242,'[2]BASE DE PROVEEDORES'!$A:$B,2,0)</f>
        <v xml:space="preserve">DISTRIBUIDORA DE LUBRICANTES Y COMBUSTIBLES S.A DE C.V </v>
      </c>
      <c r="M242" s="25">
        <f>3.33+1.66</f>
        <v>4.99</v>
      </c>
      <c r="N242" s="5" t="s">
        <v>2</v>
      </c>
      <c r="O242" s="5" t="s">
        <v>2</v>
      </c>
      <c r="P242" s="6">
        <v>37.15</v>
      </c>
      <c r="Q242" s="5" t="s">
        <v>2</v>
      </c>
      <c r="R242" s="18" t="s">
        <v>2</v>
      </c>
      <c r="S242" s="18" t="s">
        <v>2</v>
      </c>
      <c r="T242" s="12">
        <v>4.83</v>
      </c>
      <c r="U242" s="13">
        <f t="shared" si="34"/>
        <v>46.97</v>
      </c>
      <c r="V242" s="19" t="s">
        <v>3</v>
      </c>
      <c r="X242" s="3">
        <f t="shared" si="35"/>
        <v>4.83</v>
      </c>
    </row>
    <row r="243" spans="1:24" hidden="1" x14ac:dyDescent="0.25">
      <c r="A243" s="5" t="s">
        <v>243</v>
      </c>
      <c r="B243" s="18" t="s">
        <v>287</v>
      </c>
      <c r="C243" s="20" t="str">
        <f t="shared" si="31"/>
        <v>12</v>
      </c>
      <c r="D243" s="20" t="str">
        <f t="shared" si="32"/>
        <v>05</v>
      </c>
      <c r="E243" s="19" t="s">
        <v>21</v>
      </c>
      <c r="F243" s="19" t="s">
        <v>22</v>
      </c>
      <c r="G243" s="4" t="str">
        <f t="shared" si="33"/>
        <v>12/05/2021</v>
      </c>
      <c r="H243" s="19" t="s">
        <v>1</v>
      </c>
      <c r="I243" s="19" t="s">
        <v>0</v>
      </c>
      <c r="J243" s="5" t="s">
        <v>289</v>
      </c>
      <c r="K243" s="5" t="s">
        <v>55</v>
      </c>
      <c r="L243" s="22" t="str">
        <f>+VLOOKUP(K243,'[2]BASE DE PROVEEDORES'!$A:$B,2,0)</f>
        <v xml:space="preserve">DISTRIBUIDORA DE LUBRICANTES Y COMBUSTIBLES S.A DE C.V </v>
      </c>
      <c r="M243" s="25">
        <f>12.92+6.46</f>
        <v>19.38</v>
      </c>
      <c r="N243" s="5" t="s">
        <v>2</v>
      </c>
      <c r="O243" s="5" t="s">
        <v>2</v>
      </c>
      <c r="P243" s="6">
        <v>143.97999999999999</v>
      </c>
      <c r="Q243" s="5" t="s">
        <v>2</v>
      </c>
      <c r="R243" s="18" t="s">
        <v>2</v>
      </c>
      <c r="S243" s="18" t="s">
        <v>2</v>
      </c>
      <c r="T243" s="12">
        <v>18.72</v>
      </c>
      <c r="U243" s="13">
        <f t="shared" si="34"/>
        <v>182.07999999999998</v>
      </c>
      <c r="V243" s="19" t="s">
        <v>3</v>
      </c>
      <c r="X243" s="3">
        <f t="shared" si="35"/>
        <v>18.72</v>
      </c>
    </row>
    <row r="244" spans="1:24" hidden="1" x14ac:dyDescent="0.25">
      <c r="A244" s="5" t="s">
        <v>243</v>
      </c>
      <c r="B244" s="18" t="s">
        <v>287</v>
      </c>
      <c r="C244" s="20" t="str">
        <f t="shared" si="31"/>
        <v>12</v>
      </c>
      <c r="D244" s="20" t="str">
        <f t="shared" si="32"/>
        <v>05</v>
      </c>
      <c r="E244" s="19" t="s">
        <v>21</v>
      </c>
      <c r="F244" s="19" t="s">
        <v>22</v>
      </c>
      <c r="G244" s="4" t="str">
        <f t="shared" si="33"/>
        <v>12/05/2021</v>
      </c>
      <c r="H244" s="19" t="s">
        <v>1</v>
      </c>
      <c r="I244" s="19" t="s">
        <v>0</v>
      </c>
      <c r="J244" s="5" t="s">
        <v>290</v>
      </c>
      <c r="K244" s="5" t="s">
        <v>55</v>
      </c>
      <c r="L244" s="22" t="str">
        <f>+VLOOKUP(K244,'[2]BASE DE PROVEEDORES'!$A:$B,2,0)</f>
        <v xml:space="preserve">DISTRIBUIDORA DE LUBRICANTES Y COMBUSTIBLES S.A DE C.V </v>
      </c>
      <c r="M244" s="25">
        <f>7.53+3.76</f>
        <v>11.29</v>
      </c>
      <c r="N244" s="5" t="s">
        <v>2</v>
      </c>
      <c r="O244" s="5" t="s">
        <v>2</v>
      </c>
      <c r="P244" s="6">
        <v>84</v>
      </c>
      <c r="Q244" s="5" t="s">
        <v>2</v>
      </c>
      <c r="R244" s="18" t="s">
        <v>2</v>
      </c>
      <c r="S244" s="18" t="s">
        <v>2</v>
      </c>
      <c r="T244" s="12">
        <v>10.92</v>
      </c>
      <c r="U244" s="13">
        <f t="shared" si="34"/>
        <v>106.21</v>
      </c>
      <c r="V244" s="19" t="s">
        <v>3</v>
      </c>
      <c r="X244" s="3">
        <f t="shared" si="35"/>
        <v>10.92</v>
      </c>
    </row>
    <row r="245" spans="1:24" hidden="1" x14ac:dyDescent="0.25">
      <c r="A245" s="5" t="s">
        <v>243</v>
      </c>
      <c r="B245" s="18" t="s">
        <v>287</v>
      </c>
      <c r="C245" s="20" t="str">
        <f t="shared" si="31"/>
        <v>12</v>
      </c>
      <c r="D245" s="20" t="str">
        <f t="shared" si="32"/>
        <v>05</v>
      </c>
      <c r="E245" s="19" t="s">
        <v>21</v>
      </c>
      <c r="F245" s="19" t="s">
        <v>22</v>
      </c>
      <c r="G245" s="4" t="str">
        <f t="shared" si="33"/>
        <v>12/05/2021</v>
      </c>
      <c r="H245" s="19" t="s">
        <v>1</v>
      </c>
      <c r="I245" s="19" t="s">
        <v>0</v>
      </c>
      <c r="J245" s="5" t="s">
        <v>291</v>
      </c>
      <c r="K245" s="5" t="s">
        <v>55</v>
      </c>
      <c r="L245" s="22" t="str">
        <f>+VLOOKUP(K245,'[2]BASE DE PROVEEDORES'!$A:$B,2,0)</f>
        <v xml:space="preserve">DISTRIBUIDORA DE LUBRICANTES Y COMBUSTIBLES S.A DE C.V </v>
      </c>
      <c r="M245" s="25">
        <f>6.25+3.12</f>
        <v>9.370000000000001</v>
      </c>
      <c r="N245" s="5" t="s">
        <v>2</v>
      </c>
      <c r="O245" s="5" t="s">
        <v>2</v>
      </c>
      <c r="P245" s="6">
        <v>69.67</v>
      </c>
      <c r="Q245" s="5" t="s">
        <v>2</v>
      </c>
      <c r="R245" s="18" t="s">
        <v>2</v>
      </c>
      <c r="S245" s="18" t="s">
        <v>2</v>
      </c>
      <c r="T245" s="12">
        <v>9.06</v>
      </c>
      <c r="U245" s="13">
        <f t="shared" si="34"/>
        <v>88.100000000000009</v>
      </c>
      <c r="V245" s="19" t="s">
        <v>3</v>
      </c>
      <c r="X245" s="3">
        <f t="shared" si="35"/>
        <v>9.06</v>
      </c>
    </row>
    <row r="246" spans="1:24" hidden="1" x14ac:dyDescent="0.25">
      <c r="A246" s="5" t="s">
        <v>243</v>
      </c>
      <c r="B246" s="18" t="s">
        <v>287</v>
      </c>
      <c r="C246" s="20" t="str">
        <f t="shared" si="31"/>
        <v>12</v>
      </c>
      <c r="D246" s="20" t="str">
        <f t="shared" si="32"/>
        <v>05</v>
      </c>
      <c r="E246" s="19" t="s">
        <v>21</v>
      </c>
      <c r="F246" s="19" t="s">
        <v>22</v>
      </c>
      <c r="G246" s="4" t="str">
        <f t="shared" si="33"/>
        <v>12/05/2021</v>
      </c>
      <c r="H246" s="19" t="s">
        <v>1</v>
      </c>
      <c r="I246" s="19" t="s">
        <v>0</v>
      </c>
      <c r="J246" s="5" t="s">
        <v>397</v>
      </c>
      <c r="K246" s="5" t="s">
        <v>398</v>
      </c>
      <c r="L246" s="22" t="str">
        <f>+VLOOKUP(K246,'[2]BASE DE PROVEEDORES'!$A:$B,2,0)</f>
        <v>INVERSIONES GIBRALTAR S.A DE C.V.</v>
      </c>
      <c r="M246" s="25">
        <f>5.46+10.91</f>
        <v>16.37</v>
      </c>
      <c r="N246" s="5" t="s">
        <v>2</v>
      </c>
      <c r="O246" s="5" t="s">
        <v>2</v>
      </c>
      <c r="P246" s="6">
        <v>127.94</v>
      </c>
      <c r="Q246" s="5" t="s">
        <v>2</v>
      </c>
      <c r="R246" s="18" t="s">
        <v>2</v>
      </c>
      <c r="S246" s="18" t="s">
        <v>2</v>
      </c>
      <c r="T246" s="12">
        <v>16.63</v>
      </c>
      <c r="U246" s="13">
        <f t="shared" si="34"/>
        <v>160.94</v>
      </c>
      <c r="V246" s="19" t="s">
        <v>3</v>
      </c>
      <c r="X246" s="3">
        <f t="shared" si="35"/>
        <v>16.63</v>
      </c>
    </row>
    <row r="247" spans="1:24" hidden="1" x14ac:dyDescent="0.25">
      <c r="A247" s="5" t="s">
        <v>243</v>
      </c>
      <c r="B247" s="18" t="s">
        <v>287</v>
      </c>
      <c r="C247" s="20" t="str">
        <f t="shared" si="31"/>
        <v>12</v>
      </c>
      <c r="D247" s="20" t="str">
        <f t="shared" si="32"/>
        <v>05</v>
      </c>
      <c r="E247" s="19" t="s">
        <v>21</v>
      </c>
      <c r="F247" s="19" t="s">
        <v>22</v>
      </c>
      <c r="G247" s="4" t="str">
        <f t="shared" si="33"/>
        <v>12/05/2021</v>
      </c>
      <c r="H247" s="19" t="s">
        <v>1</v>
      </c>
      <c r="I247" s="19" t="s">
        <v>0</v>
      </c>
      <c r="J247" s="5" t="s">
        <v>400</v>
      </c>
      <c r="K247" s="5" t="s">
        <v>42</v>
      </c>
      <c r="L247" s="22" t="str">
        <f>+VLOOKUP(K247,'[2]BASE DE PROVEEDORES'!$A:$B,2,0)</f>
        <v>ECSA OPERADORA EL SALVADOR S.A DE C.V.</v>
      </c>
      <c r="M247" s="25">
        <v>5.38</v>
      </c>
      <c r="N247" s="5" t="s">
        <v>2</v>
      </c>
      <c r="O247" s="5" t="s">
        <v>2</v>
      </c>
      <c r="P247" s="6">
        <v>40.450000000000003</v>
      </c>
      <c r="Q247" s="5" t="s">
        <v>2</v>
      </c>
      <c r="R247" s="18" t="s">
        <v>2</v>
      </c>
      <c r="S247" s="18" t="s">
        <v>2</v>
      </c>
      <c r="T247" s="12">
        <v>5.26</v>
      </c>
      <c r="U247" s="13">
        <f t="shared" si="34"/>
        <v>51.09</v>
      </c>
      <c r="V247" s="19" t="s">
        <v>3</v>
      </c>
      <c r="X247" s="3">
        <f t="shared" si="35"/>
        <v>5.26</v>
      </c>
    </row>
    <row r="248" spans="1:24" hidden="1" x14ac:dyDescent="0.25">
      <c r="A248" s="5" t="s">
        <v>243</v>
      </c>
      <c r="B248" s="18" t="s">
        <v>287</v>
      </c>
      <c r="C248" s="20" t="str">
        <f t="shared" si="31"/>
        <v>12</v>
      </c>
      <c r="D248" s="20" t="str">
        <f t="shared" si="32"/>
        <v>05</v>
      </c>
      <c r="E248" s="19" t="s">
        <v>21</v>
      </c>
      <c r="F248" s="19" t="s">
        <v>22</v>
      </c>
      <c r="G248" s="4" t="str">
        <f t="shared" si="33"/>
        <v>12/05/2021</v>
      </c>
      <c r="H248" s="19" t="s">
        <v>1</v>
      </c>
      <c r="I248" s="19" t="s">
        <v>0</v>
      </c>
      <c r="J248" s="5" t="s">
        <v>436</v>
      </c>
      <c r="K248" s="5" t="s">
        <v>437</v>
      </c>
      <c r="L248" s="22" t="str">
        <f>+VLOOKUP(K248,'[2]BASE DE PROVEEDORES'!$A:$B,2,0)</f>
        <v>REPUESTOS DIDEA S.A DE C.V.</v>
      </c>
      <c r="M248" s="25">
        <v>0</v>
      </c>
      <c r="N248" s="5" t="s">
        <v>2</v>
      </c>
      <c r="O248" s="5" t="s">
        <v>2</v>
      </c>
      <c r="P248" s="6">
        <v>66.41</v>
      </c>
      <c r="Q248" s="5" t="s">
        <v>2</v>
      </c>
      <c r="R248" s="18" t="s">
        <v>2</v>
      </c>
      <c r="S248" s="18" t="s">
        <v>2</v>
      </c>
      <c r="T248" s="12">
        <v>8.6300000000000008</v>
      </c>
      <c r="U248" s="13">
        <f t="shared" si="34"/>
        <v>75.039999999999992</v>
      </c>
      <c r="V248" s="19" t="s">
        <v>3</v>
      </c>
      <c r="X248" s="3">
        <f t="shared" si="35"/>
        <v>8.6300000000000008</v>
      </c>
    </row>
    <row r="249" spans="1:24" hidden="1" x14ac:dyDescent="0.25">
      <c r="A249" s="5" t="s">
        <v>243</v>
      </c>
      <c r="B249" s="18" t="s">
        <v>287</v>
      </c>
      <c r="C249" s="20" t="str">
        <f t="shared" si="31"/>
        <v>12</v>
      </c>
      <c r="D249" s="20" t="str">
        <f t="shared" si="32"/>
        <v>05</v>
      </c>
      <c r="E249" s="19" t="s">
        <v>21</v>
      </c>
      <c r="F249" s="19" t="s">
        <v>22</v>
      </c>
      <c r="G249" s="4" t="str">
        <f t="shared" si="33"/>
        <v>12/05/2021</v>
      </c>
      <c r="H249" s="19" t="s">
        <v>1</v>
      </c>
      <c r="I249" s="19" t="s">
        <v>0</v>
      </c>
      <c r="J249" s="5" t="s">
        <v>457</v>
      </c>
      <c r="K249" s="5" t="s">
        <v>149</v>
      </c>
      <c r="L249" s="22" t="str">
        <f>+VLOOKUP(K249,'[2]BASE DE PROVEEDORES'!$A:$B,2,0)</f>
        <v>ALMACENES VIDRI, S.A DE C.V.</v>
      </c>
      <c r="M249" s="25">
        <v>0</v>
      </c>
      <c r="N249" s="5" t="s">
        <v>2</v>
      </c>
      <c r="O249" s="5" t="s">
        <v>2</v>
      </c>
      <c r="P249" s="6">
        <v>13.41</v>
      </c>
      <c r="Q249" s="5" t="s">
        <v>2</v>
      </c>
      <c r="R249" s="18" t="s">
        <v>2</v>
      </c>
      <c r="S249" s="18" t="s">
        <v>2</v>
      </c>
      <c r="T249" s="12">
        <v>1.74</v>
      </c>
      <c r="U249" s="13">
        <f t="shared" si="34"/>
        <v>15.15</v>
      </c>
      <c r="V249" s="19" t="s">
        <v>3</v>
      </c>
      <c r="X249" s="3">
        <f t="shared" si="35"/>
        <v>1.74</v>
      </c>
    </row>
    <row r="250" spans="1:24" hidden="1" x14ac:dyDescent="0.25">
      <c r="A250" s="5" t="s">
        <v>243</v>
      </c>
      <c r="B250" s="18" t="s">
        <v>287</v>
      </c>
      <c r="C250" s="20" t="str">
        <f t="shared" si="31"/>
        <v>12</v>
      </c>
      <c r="D250" s="20" t="str">
        <f t="shared" si="32"/>
        <v>05</v>
      </c>
      <c r="E250" s="19" t="s">
        <v>21</v>
      </c>
      <c r="F250" s="19" t="s">
        <v>22</v>
      </c>
      <c r="G250" s="4" t="str">
        <f t="shared" si="33"/>
        <v>12/05/2021</v>
      </c>
      <c r="H250" s="19" t="s">
        <v>1</v>
      </c>
      <c r="I250" s="19" t="s">
        <v>0</v>
      </c>
      <c r="J250" s="5" t="s">
        <v>462</v>
      </c>
      <c r="K250" s="5" t="s">
        <v>146</v>
      </c>
      <c r="L250" s="22" t="str">
        <f>+VLOOKUP(K250,'[2]BASE DE PROVEEDORES'!$A:$B,2,0)</f>
        <v>FREUND S.A DE C.V.</v>
      </c>
      <c r="M250" s="25">
        <v>0</v>
      </c>
      <c r="N250" s="5" t="s">
        <v>2</v>
      </c>
      <c r="O250" s="5" t="s">
        <v>2</v>
      </c>
      <c r="P250" s="6">
        <v>243.11</v>
      </c>
      <c r="Q250" s="5" t="s">
        <v>2</v>
      </c>
      <c r="R250" s="18" t="s">
        <v>2</v>
      </c>
      <c r="S250" s="18" t="s">
        <v>2</v>
      </c>
      <c r="T250" s="12">
        <v>31.6</v>
      </c>
      <c r="U250" s="13">
        <f t="shared" si="34"/>
        <v>274.71000000000004</v>
      </c>
      <c r="V250" s="19" t="s">
        <v>3</v>
      </c>
      <c r="X250" s="3">
        <f t="shared" si="35"/>
        <v>31.6</v>
      </c>
    </row>
    <row r="251" spans="1:24" hidden="1" x14ac:dyDescent="0.25">
      <c r="A251" s="5" t="s">
        <v>243</v>
      </c>
      <c r="B251" s="18" t="s">
        <v>244</v>
      </c>
      <c r="C251" s="20" t="str">
        <f t="shared" si="31"/>
        <v>13</v>
      </c>
      <c r="D251" s="20" t="str">
        <f t="shared" si="32"/>
        <v>05</v>
      </c>
      <c r="E251" s="19" t="s">
        <v>21</v>
      </c>
      <c r="F251" s="19" t="s">
        <v>22</v>
      </c>
      <c r="G251" s="4" t="str">
        <f t="shared" si="33"/>
        <v>13/05/2021</v>
      </c>
      <c r="H251" s="19" t="s">
        <v>1</v>
      </c>
      <c r="I251" s="19" t="s">
        <v>0</v>
      </c>
      <c r="J251" s="5" t="s">
        <v>245</v>
      </c>
      <c r="K251" s="5" t="s">
        <v>55</v>
      </c>
      <c r="L251" s="22" t="str">
        <f>+VLOOKUP(K251,'[2]BASE DE PROVEEDORES'!$A:$B,2,0)</f>
        <v xml:space="preserve">DISTRIBUIDORA DE LUBRICANTES Y COMBUSTIBLES S.A DE C.V </v>
      </c>
      <c r="M251" s="25">
        <f>0.58+0.29</f>
        <v>0.86999999999999988</v>
      </c>
      <c r="N251" s="5" t="s">
        <v>2</v>
      </c>
      <c r="O251" s="5" t="s">
        <v>2</v>
      </c>
      <c r="P251" s="6">
        <v>8.08</v>
      </c>
      <c r="Q251" s="5" t="s">
        <v>2</v>
      </c>
      <c r="R251" s="18" t="s">
        <v>2</v>
      </c>
      <c r="S251" s="18" t="s">
        <v>2</v>
      </c>
      <c r="T251" s="12">
        <v>1.05</v>
      </c>
      <c r="U251" s="13">
        <f t="shared" si="34"/>
        <v>10</v>
      </c>
      <c r="V251" s="19" t="s">
        <v>3</v>
      </c>
      <c r="X251" s="3">
        <f t="shared" si="35"/>
        <v>1.05</v>
      </c>
    </row>
    <row r="252" spans="1:24" hidden="1" x14ac:dyDescent="0.25">
      <c r="A252" s="5" t="s">
        <v>243</v>
      </c>
      <c r="B252" s="18" t="s">
        <v>244</v>
      </c>
      <c r="C252" s="20" t="str">
        <f t="shared" si="31"/>
        <v>13</v>
      </c>
      <c r="D252" s="20" t="str">
        <f t="shared" si="32"/>
        <v>05</v>
      </c>
      <c r="E252" s="19" t="s">
        <v>21</v>
      </c>
      <c r="F252" s="19" t="s">
        <v>22</v>
      </c>
      <c r="G252" s="4" t="str">
        <f t="shared" si="33"/>
        <v>13/05/2021</v>
      </c>
      <c r="H252" s="19" t="s">
        <v>1</v>
      </c>
      <c r="I252" s="19" t="s">
        <v>0</v>
      </c>
      <c r="J252" s="5" t="s">
        <v>299</v>
      </c>
      <c r="K252" s="5" t="s">
        <v>55</v>
      </c>
      <c r="L252" s="22" t="str">
        <f>+VLOOKUP(K252,'[2]BASE DE PROVEEDORES'!$A:$B,2,0)</f>
        <v xml:space="preserve">DISTRIBUIDORA DE LUBRICANTES Y COMBUSTIBLES S.A DE C.V </v>
      </c>
      <c r="M252" s="25">
        <f>10.78+5.39</f>
        <v>16.169999999999998</v>
      </c>
      <c r="N252" s="5" t="s">
        <v>2</v>
      </c>
      <c r="O252" s="5" t="s">
        <v>2</v>
      </c>
      <c r="P252" s="6">
        <v>120.2</v>
      </c>
      <c r="Q252" s="5" t="s">
        <v>2</v>
      </c>
      <c r="R252" s="18" t="s">
        <v>2</v>
      </c>
      <c r="S252" s="18" t="s">
        <v>2</v>
      </c>
      <c r="T252" s="12">
        <v>15.63</v>
      </c>
      <c r="U252" s="13">
        <f t="shared" si="34"/>
        <v>152</v>
      </c>
      <c r="V252" s="19" t="s">
        <v>3</v>
      </c>
      <c r="X252" s="3">
        <f t="shared" si="35"/>
        <v>15.63</v>
      </c>
    </row>
    <row r="253" spans="1:24" hidden="1" x14ac:dyDescent="0.25">
      <c r="A253" s="5" t="s">
        <v>243</v>
      </c>
      <c r="B253" s="18" t="s">
        <v>244</v>
      </c>
      <c r="C253" s="20" t="str">
        <f t="shared" si="31"/>
        <v>13</v>
      </c>
      <c r="D253" s="20" t="str">
        <f t="shared" si="32"/>
        <v>05</v>
      </c>
      <c r="E253" s="19" t="s">
        <v>21</v>
      </c>
      <c r="F253" s="19" t="s">
        <v>22</v>
      </c>
      <c r="G253" s="4" t="str">
        <f t="shared" si="33"/>
        <v>13/05/2021</v>
      </c>
      <c r="H253" s="19" t="s">
        <v>1</v>
      </c>
      <c r="I253" s="19" t="s">
        <v>0</v>
      </c>
      <c r="J253" s="5" t="s">
        <v>300</v>
      </c>
      <c r="K253" s="5" t="s">
        <v>55</v>
      </c>
      <c r="L253" s="22" t="str">
        <f>+VLOOKUP(K253,'[2]BASE DE PROVEEDORES'!$A:$B,2,0)</f>
        <v xml:space="preserve">DISTRIBUIDORA DE LUBRICANTES Y COMBUSTIBLES S.A DE C.V </v>
      </c>
      <c r="M253" s="25">
        <f>0.62+0.31</f>
        <v>0.92999999999999994</v>
      </c>
      <c r="N253" s="5" t="s">
        <v>2</v>
      </c>
      <c r="O253" s="5" t="s">
        <v>2</v>
      </c>
      <c r="P253" s="6">
        <v>6.98</v>
      </c>
      <c r="Q253" s="5" t="s">
        <v>2</v>
      </c>
      <c r="R253" s="18" t="s">
        <v>2</v>
      </c>
      <c r="S253" s="18" t="s">
        <v>2</v>
      </c>
      <c r="T253" s="12">
        <v>0.91</v>
      </c>
      <c r="U253" s="13">
        <f t="shared" si="34"/>
        <v>8.82</v>
      </c>
      <c r="V253" s="19" t="s">
        <v>3</v>
      </c>
      <c r="X253" s="3">
        <f t="shared" si="35"/>
        <v>0.91</v>
      </c>
    </row>
    <row r="254" spans="1:24" hidden="1" x14ac:dyDescent="0.25">
      <c r="A254" s="5" t="s">
        <v>243</v>
      </c>
      <c r="B254" s="18" t="s">
        <v>244</v>
      </c>
      <c r="C254" s="20" t="str">
        <f t="shared" si="31"/>
        <v>13</v>
      </c>
      <c r="D254" s="20" t="str">
        <f t="shared" si="32"/>
        <v>05</v>
      </c>
      <c r="E254" s="19" t="s">
        <v>21</v>
      </c>
      <c r="F254" s="19" t="s">
        <v>22</v>
      </c>
      <c r="G254" s="4" t="str">
        <f t="shared" si="33"/>
        <v>13/05/2021</v>
      </c>
      <c r="H254" s="19" t="s">
        <v>1</v>
      </c>
      <c r="I254" s="19" t="s">
        <v>0</v>
      </c>
      <c r="J254" s="5" t="s">
        <v>302</v>
      </c>
      <c r="K254" s="5" t="s">
        <v>55</v>
      </c>
      <c r="L254" s="22" t="str">
        <f>+VLOOKUP(K254,'[2]BASE DE PROVEEDORES'!$A:$B,2,0)</f>
        <v xml:space="preserve">DISTRIBUIDORA DE LUBRICANTES Y COMBUSTIBLES S.A DE C.V </v>
      </c>
      <c r="M254" s="25">
        <f>10.02+5.01</f>
        <v>15.03</v>
      </c>
      <c r="N254" s="5" t="s">
        <v>2</v>
      </c>
      <c r="O254" s="5" t="s">
        <v>2</v>
      </c>
      <c r="P254" s="6">
        <v>111.72</v>
      </c>
      <c r="Q254" s="5" t="s">
        <v>2</v>
      </c>
      <c r="R254" s="18" t="s">
        <v>2</v>
      </c>
      <c r="S254" s="18" t="s">
        <v>2</v>
      </c>
      <c r="T254" s="12">
        <v>14.52</v>
      </c>
      <c r="U254" s="13">
        <f t="shared" si="34"/>
        <v>141.27000000000001</v>
      </c>
      <c r="V254" s="19" t="s">
        <v>3</v>
      </c>
      <c r="X254" s="3">
        <f t="shared" si="35"/>
        <v>14.52</v>
      </c>
    </row>
    <row r="255" spans="1:24" hidden="1" x14ac:dyDescent="0.25">
      <c r="A255" s="5" t="s">
        <v>243</v>
      </c>
      <c r="B255" s="18" t="s">
        <v>244</v>
      </c>
      <c r="C255" s="20" t="str">
        <f t="shared" si="31"/>
        <v>13</v>
      </c>
      <c r="D255" s="20" t="str">
        <f t="shared" si="32"/>
        <v>05</v>
      </c>
      <c r="E255" s="19" t="s">
        <v>21</v>
      </c>
      <c r="F255" s="19" t="s">
        <v>22</v>
      </c>
      <c r="G255" s="4" t="str">
        <f t="shared" si="33"/>
        <v>13/05/2021</v>
      </c>
      <c r="H255" s="19" t="s">
        <v>1</v>
      </c>
      <c r="I255" s="19" t="s">
        <v>0</v>
      </c>
      <c r="J255" s="5" t="s">
        <v>325</v>
      </c>
      <c r="K255" s="5" t="s">
        <v>55</v>
      </c>
      <c r="L255" s="22" t="str">
        <f>+VLOOKUP(K255,'[2]BASE DE PROVEEDORES'!$A:$B,2,0)</f>
        <v xml:space="preserve">DISTRIBUIDORA DE LUBRICANTES Y COMBUSTIBLES S.A DE C.V </v>
      </c>
      <c r="M255" s="25">
        <f>3.51+1.76</f>
        <v>5.27</v>
      </c>
      <c r="N255" s="5" t="s">
        <v>2</v>
      </c>
      <c r="O255" s="5" t="s">
        <v>2</v>
      </c>
      <c r="P255" s="6">
        <v>38.380000000000003</v>
      </c>
      <c r="Q255" s="5" t="s">
        <v>2</v>
      </c>
      <c r="R255" s="18" t="s">
        <v>2</v>
      </c>
      <c r="S255" s="18" t="s">
        <v>2</v>
      </c>
      <c r="T255" s="12">
        <v>4.99</v>
      </c>
      <c r="U255" s="13">
        <f t="shared" si="34"/>
        <v>48.640000000000008</v>
      </c>
      <c r="V255" s="19" t="s">
        <v>3</v>
      </c>
      <c r="X255" s="3">
        <f t="shared" si="35"/>
        <v>4.99</v>
      </c>
    </row>
    <row r="256" spans="1:24" hidden="1" x14ac:dyDescent="0.25">
      <c r="A256" s="5" t="s">
        <v>243</v>
      </c>
      <c r="B256" s="18" t="s">
        <v>244</v>
      </c>
      <c r="C256" s="20" t="str">
        <f t="shared" si="31"/>
        <v>13</v>
      </c>
      <c r="D256" s="20" t="str">
        <f t="shared" si="32"/>
        <v>05</v>
      </c>
      <c r="E256" s="19" t="s">
        <v>21</v>
      </c>
      <c r="F256" s="19" t="s">
        <v>22</v>
      </c>
      <c r="G256" s="4" t="str">
        <f t="shared" si="33"/>
        <v>13/05/2021</v>
      </c>
      <c r="H256" s="19" t="s">
        <v>1</v>
      </c>
      <c r="I256" s="19" t="s">
        <v>0</v>
      </c>
      <c r="J256" s="5" t="s">
        <v>326</v>
      </c>
      <c r="K256" s="5" t="s">
        <v>55</v>
      </c>
      <c r="L256" s="22" t="str">
        <f>+VLOOKUP(K256,'[2]BASE DE PROVEEDORES'!$A:$B,2,0)</f>
        <v xml:space="preserve">DISTRIBUIDORA DE LUBRICANTES Y COMBUSTIBLES S.A DE C.V </v>
      </c>
      <c r="M256" s="25">
        <f>12.86+6.43</f>
        <v>19.29</v>
      </c>
      <c r="N256" s="5" t="s">
        <v>2</v>
      </c>
      <c r="O256" s="5" t="s">
        <v>2</v>
      </c>
      <c r="P256" s="6">
        <v>143.36000000000001</v>
      </c>
      <c r="Q256" s="5" t="s">
        <v>2</v>
      </c>
      <c r="R256" s="18" t="s">
        <v>2</v>
      </c>
      <c r="S256" s="18" t="s">
        <v>2</v>
      </c>
      <c r="T256" s="12">
        <v>18.64</v>
      </c>
      <c r="U256" s="13">
        <f t="shared" si="34"/>
        <v>181.29000000000002</v>
      </c>
      <c r="V256" s="19" t="s">
        <v>3</v>
      </c>
      <c r="X256" s="3">
        <f t="shared" si="35"/>
        <v>18.64</v>
      </c>
    </row>
    <row r="257" spans="1:24" hidden="1" x14ac:dyDescent="0.25">
      <c r="A257" s="5" t="s">
        <v>243</v>
      </c>
      <c r="B257" s="18" t="s">
        <v>244</v>
      </c>
      <c r="C257" s="20" t="str">
        <f t="shared" si="31"/>
        <v>13</v>
      </c>
      <c r="D257" s="20" t="str">
        <f t="shared" si="32"/>
        <v>05</v>
      </c>
      <c r="E257" s="19" t="s">
        <v>21</v>
      </c>
      <c r="F257" s="19" t="s">
        <v>22</v>
      </c>
      <c r="G257" s="4" t="str">
        <f t="shared" si="33"/>
        <v>13/05/2021</v>
      </c>
      <c r="H257" s="19" t="s">
        <v>1</v>
      </c>
      <c r="I257" s="19" t="s">
        <v>0</v>
      </c>
      <c r="J257" s="5" t="s">
        <v>327</v>
      </c>
      <c r="K257" s="5" t="s">
        <v>55</v>
      </c>
      <c r="L257" s="22" t="str">
        <f>+VLOOKUP(K257,'[2]BASE DE PROVEEDORES'!$A:$B,2,0)</f>
        <v xml:space="preserve">DISTRIBUIDORA DE LUBRICANTES Y COMBUSTIBLES S.A DE C.V </v>
      </c>
      <c r="M257" s="25">
        <f>4.54+2.27</f>
        <v>6.8100000000000005</v>
      </c>
      <c r="N257" s="5" t="s">
        <v>2</v>
      </c>
      <c r="O257" s="5" t="s">
        <v>2</v>
      </c>
      <c r="P257" s="6">
        <v>50.6</v>
      </c>
      <c r="Q257" s="5" t="s">
        <v>2</v>
      </c>
      <c r="R257" s="18" t="s">
        <v>2</v>
      </c>
      <c r="S257" s="18" t="s">
        <v>2</v>
      </c>
      <c r="T257" s="12">
        <v>6.58</v>
      </c>
      <c r="U257" s="13">
        <f t="shared" si="34"/>
        <v>63.99</v>
      </c>
      <c r="V257" s="19" t="s">
        <v>3</v>
      </c>
      <c r="X257" s="3">
        <f t="shared" si="35"/>
        <v>6.58</v>
      </c>
    </row>
    <row r="258" spans="1:24" hidden="1" x14ac:dyDescent="0.25">
      <c r="A258" s="5" t="s">
        <v>243</v>
      </c>
      <c r="B258" s="18" t="s">
        <v>244</v>
      </c>
      <c r="C258" s="20" t="str">
        <f t="shared" si="31"/>
        <v>13</v>
      </c>
      <c r="D258" s="20" t="str">
        <f t="shared" si="32"/>
        <v>05</v>
      </c>
      <c r="E258" s="19" t="s">
        <v>21</v>
      </c>
      <c r="F258" s="19" t="s">
        <v>22</v>
      </c>
      <c r="G258" s="4" t="str">
        <f t="shared" si="33"/>
        <v>13/05/2021</v>
      </c>
      <c r="H258" s="19" t="s">
        <v>1</v>
      </c>
      <c r="I258" s="19" t="s">
        <v>0</v>
      </c>
      <c r="J258" s="5" t="s">
        <v>394</v>
      </c>
      <c r="K258" s="5" t="s">
        <v>395</v>
      </c>
      <c r="L258" s="22" t="str">
        <f>+VLOOKUP(K258,'[2]BASE DE PROVEEDORES'!$A:$B,2,0)</f>
        <v>FRANCISCO ANTONIO FLORES</v>
      </c>
      <c r="M258" s="25">
        <f>1.39+0.7</f>
        <v>2.09</v>
      </c>
      <c r="N258" s="5" t="s">
        <v>2</v>
      </c>
      <c r="O258" s="5" t="s">
        <v>2</v>
      </c>
      <c r="P258" s="6">
        <v>15.85</v>
      </c>
      <c r="Q258" s="5" t="s">
        <v>2</v>
      </c>
      <c r="R258" s="18" t="s">
        <v>2</v>
      </c>
      <c r="S258" s="18" t="s">
        <v>2</v>
      </c>
      <c r="T258" s="12">
        <v>2.06</v>
      </c>
      <c r="U258" s="13">
        <f t="shared" si="34"/>
        <v>19.999999999999996</v>
      </c>
      <c r="V258" s="19" t="s">
        <v>3</v>
      </c>
      <c r="X258" s="3">
        <f t="shared" si="35"/>
        <v>2.06</v>
      </c>
    </row>
    <row r="259" spans="1:24" hidden="1" x14ac:dyDescent="0.25">
      <c r="A259" s="5" t="s">
        <v>243</v>
      </c>
      <c r="B259" s="18" t="s">
        <v>244</v>
      </c>
      <c r="C259" s="20" t="str">
        <f t="shared" ref="C259:C290" si="36">+LEFT(B259,2)</f>
        <v>13</v>
      </c>
      <c r="D259" s="20" t="str">
        <f t="shared" ref="D259:D290" si="37">+RIGHT(B259,2)</f>
        <v>05</v>
      </c>
      <c r="E259" s="19" t="s">
        <v>21</v>
      </c>
      <c r="F259" s="19" t="s">
        <v>22</v>
      </c>
      <c r="G259" s="4" t="str">
        <f t="shared" ref="G259:G290" si="38">+C259&amp;F259&amp;D259&amp;F259&amp;E259</f>
        <v>13/05/2021</v>
      </c>
      <c r="H259" s="19" t="s">
        <v>1</v>
      </c>
      <c r="I259" s="19" t="s">
        <v>0</v>
      </c>
      <c r="J259" s="5" t="s">
        <v>399</v>
      </c>
      <c r="K259" s="5" t="s">
        <v>42</v>
      </c>
      <c r="L259" s="22" t="str">
        <f>+VLOOKUP(K259,'[2]BASE DE PROVEEDORES'!$A:$B,2,0)</f>
        <v>ECSA OPERADORA EL SALVADOR S.A DE C.V.</v>
      </c>
      <c r="M259" s="25">
        <v>20.64</v>
      </c>
      <c r="N259" s="5" t="s">
        <v>2</v>
      </c>
      <c r="O259" s="5" t="s">
        <v>2</v>
      </c>
      <c r="P259" s="6">
        <v>155.26</v>
      </c>
      <c r="Q259" s="5" t="s">
        <v>2</v>
      </c>
      <c r="R259" s="18" t="s">
        <v>2</v>
      </c>
      <c r="S259" s="18" t="s">
        <v>2</v>
      </c>
      <c r="T259" s="12">
        <v>20.18</v>
      </c>
      <c r="U259" s="13">
        <f t="shared" ref="U259:U290" si="39">+M259+P259+T259</f>
        <v>196.07999999999998</v>
      </c>
      <c r="V259" s="19" t="s">
        <v>3</v>
      </c>
      <c r="X259" s="3">
        <f t="shared" ref="X259:X290" si="40">+ROUND(T259,2)</f>
        <v>20.18</v>
      </c>
    </row>
    <row r="260" spans="1:24" hidden="1" x14ac:dyDescent="0.25">
      <c r="A260" s="5" t="s">
        <v>243</v>
      </c>
      <c r="B260" s="18" t="s">
        <v>244</v>
      </c>
      <c r="C260" s="20" t="str">
        <f t="shared" si="36"/>
        <v>13</v>
      </c>
      <c r="D260" s="20" t="str">
        <f t="shared" si="37"/>
        <v>05</v>
      </c>
      <c r="E260" s="19" t="s">
        <v>21</v>
      </c>
      <c r="F260" s="19" t="s">
        <v>22</v>
      </c>
      <c r="G260" s="4" t="str">
        <f t="shared" si="38"/>
        <v>13/05/2021</v>
      </c>
      <c r="H260" s="19" t="s">
        <v>1</v>
      </c>
      <c r="I260" s="19" t="s">
        <v>0</v>
      </c>
      <c r="J260" s="5" t="s">
        <v>451</v>
      </c>
      <c r="K260" s="5" t="s">
        <v>452</v>
      </c>
      <c r="L260" s="22" t="str">
        <f>+VLOOKUP(K260,'[2]BASE DE PROVEEDORES'!$A:$B,2,0)</f>
        <v>CARS LAND S.A DE C.V.</v>
      </c>
      <c r="M260" s="25">
        <v>0</v>
      </c>
      <c r="N260" s="5" t="s">
        <v>2</v>
      </c>
      <c r="O260" s="5" t="s">
        <v>2</v>
      </c>
      <c r="P260" s="6">
        <v>48.67</v>
      </c>
      <c r="Q260" s="5" t="s">
        <v>2</v>
      </c>
      <c r="R260" s="18" t="s">
        <v>2</v>
      </c>
      <c r="S260" s="18" t="s">
        <v>2</v>
      </c>
      <c r="T260" s="12">
        <v>6.33</v>
      </c>
      <c r="U260" s="13">
        <f t="shared" si="39"/>
        <v>55</v>
      </c>
      <c r="V260" s="19" t="s">
        <v>3</v>
      </c>
      <c r="X260" s="3">
        <f t="shared" si="40"/>
        <v>6.33</v>
      </c>
    </row>
    <row r="261" spans="1:24" hidden="1" x14ac:dyDescent="0.25">
      <c r="A261" s="5" t="s">
        <v>243</v>
      </c>
      <c r="B261" s="18" t="s">
        <v>244</v>
      </c>
      <c r="C261" s="20" t="str">
        <f t="shared" si="36"/>
        <v>13</v>
      </c>
      <c r="D261" s="20" t="str">
        <f t="shared" si="37"/>
        <v>05</v>
      </c>
      <c r="E261" s="19" t="s">
        <v>21</v>
      </c>
      <c r="F261" s="19" t="s">
        <v>22</v>
      </c>
      <c r="G261" s="4" t="str">
        <f t="shared" si="38"/>
        <v>13/05/2021</v>
      </c>
      <c r="H261" s="19" t="s">
        <v>1</v>
      </c>
      <c r="I261" s="19" t="s">
        <v>0</v>
      </c>
      <c r="J261" s="5" t="s">
        <v>483</v>
      </c>
      <c r="K261" s="5" t="s">
        <v>157</v>
      </c>
      <c r="L261" s="22" t="str">
        <f>+VLOOKUP(K261,'[2]BASE DE PROVEEDORES'!$A:$B,2,0)</f>
        <v xml:space="preserve">GALVANIS S.A DE C.V </v>
      </c>
      <c r="M261" s="25">
        <v>0</v>
      </c>
      <c r="N261" s="5" t="s">
        <v>2</v>
      </c>
      <c r="O261" s="5" t="s">
        <v>2</v>
      </c>
      <c r="P261" s="6">
        <v>542.66999999999996</v>
      </c>
      <c r="Q261" s="5" t="s">
        <v>2</v>
      </c>
      <c r="R261" s="18" t="s">
        <v>2</v>
      </c>
      <c r="S261" s="18" t="s">
        <v>2</v>
      </c>
      <c r="T261" s="12">
        <v>70.55</v>
      </c>
      <c r="U261" s="13">
        <f t="shared" si="39"/>
        <v>613.21999999999991</v>
      </c>
      <c r="V261" s="19" t="s">
        <v>3</v>
      </c>
      <c r="X261" s="3">
        <f t="shared" si="40"/>
        <v>70.55</v>
      </c>
    </row>
    <row r="262" spans="1:24" hidden="1" x14ac:dyDescent="0.25">
      <c r="A262" s="5" t="s">
        <v>243</v>
      </c>
      <c r="B262" s="18" t="s">
        <v>244</v>
      </c>
      <c r="C262" s="20" t="str">
        <f t="shared" si="36"/>
        <v>13</v>
      </c>
      <c r="D262" s="20" t="str">
        <f t="shared" si="37"/>
        <v>05</v>
      </c>
      <c r="E262" s="19" t="s">
        <v>21</v>
      </c>
      <c r="F262" s="19" t="s">
        <v>22</v>
      </c>
      <c r="G262" s="4" t="str">
        <f t="shared" si="38"/>
        <v>13/05/2021</v>
      </c>
      <c r="H262" s="19" t="s">
        <v>1</v>
      </c>
      <c r="I262" s="19" t="s">
        <v>0</v>
      </c>
      <c r="J262" s="5" t="s">
        <v>484</v>
      </c>
      <c r="K262" s="5" t="s">
        <v>157</v>
      </c>
      <c r="L262" s="22" t="str">
        <f>+VLOOKUP(K262,'[2]BASE DE PROVEEDORES'!$A:$B,2,0)</f>
        <v xml:space="preserve">GALVANIS S.A DE C.V </v>
      </c>
      <c r="M262" s="25">
        <v>0</v>
      </c>
      <c r="N262" s="5" t="s">
        <v>2</v>
      </c>
      <c r="O262" s="5" t="s">
        <v>2</v>
      </c>
      <c r="P262" s="6">
        <v>511.83</v>
      </c>
      <c r="Q262" s="5" t="s">
        <v>2</v>
      </c>
      <c r="R262" s="18" t="s">
        <v>2</v>
      </c>
      <c r="S262" s="18" t="s">
        <v>2</v>
      </c>
      <c r="T262" s="12">
        <v>66.540000000000006</v>
      </c>
      <c r="U262" s="13">
        <f t="shared" si="39"/>
        <v>578.37</v>
      </c>
      <c r="V262" s="19" t="s">
        <v>3</v>
      </c>
      <c r="X262" s="3">
        <f t="shared" si="40"/>
        <v>66.540000000000006</v>
      </c>
    </row>
    <row r="263" spans="1:24" hidden="1" x14ac:dyDescent="0.25">
      <c r="A263" s="5" t="s">
        <v>243</v>
      </c>
      <c r="B263" s="18" t="s">
        <v>244</v>
      </c>
      <c r="C263" s="20" t="str">
        <f t="shared" si="36"/>
        <v>13</v>
      </c>
      <c r="D263" s="20" t="str">
        <f t="shared" si="37"/>
        <v>05</v>
      </c>
      <c r="E263" s="19" t="s">
        <v>21</v>
      </c>
      <c r="F263" s="19" t="s">
        <v>22</v>
      </c>
      <c r="G263" s="4" t="str">
        <f t="shared" si="38"/>
        <v>13/05/2021</v>
      </c>
      <c r="H263" s="19" t="s">
        <v>1</v>
      </c>
      <c r="I263" s="19" t="s">
        <v>0</v>
      </c>
      <c r="J263" s="5" t="s">
        <v>485</v>
      </c>
      <c r="K263" s="5" t="s">
        <v>146</v>
      </c>
      <c r="L263" s="22" t="str">
        <f>+VLOOKUP(K263,'[2]BASE DE PROVEEDORES'!$A:$B,2,0)</f>
        <v>FREUND S.A DE C.V.</v>
      </c>
      <c r="M263" s="25">
        <v>0</v>
      </c>
      <c r="N263" s="5" t="s">
        <v>2</v>
      </c>
      <c r="O263" s="5" t="s">
        <v>2</v>
      </c>
      <c r="P263" s="6">
        <v>159.41999999999999</v>
      </c>
      <c r="Q263" s="5" t="s">
        <v>2</v>
      </c>
      <c r="R263" s="18" t="s">
        <v>2</v>
      </c>
      <c r="S263" s="18" t="s">
        <v>2</v>
      </c>
      <c r="T263" s="12">
        <v>20.72</v>
      </c>
      <c r="U263" s="13">
        <f t="shared" si="39"/>
        <v>180.14</v>
      </c>
      <c r="V263" s="19" t="s">
        <v>3</v>
      </c>
      <c r="X263" s="3">
        <f t="shared" si="40"/>
        <v>20.72</v>
      </c>
    </row>
    <row r="264" spans="1:24" hidden="1" x14ac:dyDescent="0.25">
      <c r="A264" s="5" t="s">
        <v>243</v>
      </c>
      <c r="B264" s="18" t="s">
        <v>293</v>
      </c>
      <c r="C264" s="20" t="str">
        <f t="shared" si="36"/>
        <v>14</v>
      </c>
      <c r="D264" s="20" t="str">
        <f t="shared" si="37"/>
        <v>05</v>
      </c>
      <c r="E264" s="19" t="s">
        <v>21</v>
      </c>
      <c r="F264" s="19" t="s">
        <v>22</v>
      </c>
      <c r="G264" s="4" t="str">
        <f t="shared" si="38"/>
        <v>14/05/2021</v>
      </c>
      <c r="H264" s="19" t="s">
        <v>1</v>
      </c>
      <c r="I264" s="19" t="s">
        <v>0</v>
      </c>
      <c r="J264" s="5" t="s">
        <v>294</v>
      </c>
      <c r="K264" s="5" t="s">
        <v>55</v>
      </c>
      <c r="L264" s="22" t="str">
        <f>+VLOOKUP(K264,'[2]BASE DE PROVEEDORES'!$A:$B,2,0)</f>
        <v xml:space="preserve">DISTRIBUIDORA DE LUBRICANTES Y COMBUSTIBLES S.A DE C.V </v>
      </c>
      <c r="M264" s="25">
        <f>3.31+1.65</f>
        <v>4.96</v>
      </c>
      <c r="N264" s="5" t="s">
        <v>2</v>
      </c>
      <c r="O264" s="5" t="s">
        <v>2</v>
      </c>
      <c r="P264" s="6">
        <v>36.979999999999997</v>
      </c>
      <c r="Q264" s="5" t="s">
        <v>2</v>
      </c>
      <c r="R264" s="18" t="s">
        <v>2</v>
      </c>
      <c r="S264" s="18" t="s">
        <v>2</v>
      </c>
      <c r="T264" s="12">
        <v>4.8099999999999996</v>
      </c>
      <c r="U264" s="13">
        <f t="shared" si="39"/>
        <v>46.75</v>
      </c>
      <c r="V264" s="19" t="s">
        <v>3</v>
      </c>
      <c r="X264" s="3">
        <f t="shared" si="40"/>
        <v>4.8099999999999996</v>
      </c>
    </row>
    <row r="265" spans="1:24" hidden="1" x14ac:dyDescent="0.25">
      <c r="A265" s="5" t="s">
        <v>243</v>
      </c>
      <c r="B265" s="18" t="s">
        <v>293</v>
      </c>
      <c r="C265" s="20" t="str">
        <f t="shared" si="36"/>
        <v>14</v>
      </c>
      <c r="D265" s="20" t="str">
        <f t="shared" si="37"/>
        <v>05</v>
      </c>
      <c r="E265" s="19" t="s">
        <v>21</v>
      </c>
      <c r="F265" s="19" t="s">
        <v>22</v>
      </c>
      <c r="G265" s="4" t="str">
        <f t="shared" si="38"/>
        <v>14/05/2021</v>
      </c>
      <c r="H265" s="19" t="s">
        <v>1</v>
      </c>
      <c r="I265" s="19" t="s">
        <v>0</v>
      </c>
      <c r="J265" s="5" t="s">
        <v>295</v>
      </c>
      <c r="K265" s="5" t="s">
        <v>55</v>
      </c>
      <c r="L265" s="22" t="str">
        <f>+VLOOKUP(K265,'[2]BASE DE PROVEEDORES'!$A:$B,2,0)</f>
        <v xml:space="preserve">DISTRIBUIDORA DE LUBRICANTES Y COMBUSTIBLES S.A DE C.V </v>
      </c>
      <c r="M265" s="25">
        <f>10.19+5.09</f>
        <v>15.28</v>
      </c>
      <c r="N265" s="5" t="s">
        <v>2</v>
      </c>
      <c r="O265" s="5" t="s">
        <v>2</v>
      </c>
      <c r="P265" s="6">
        <v>113.6</v>
      </c>
      <c r="Q265" s="5" t="s">
        <v>2</v>
      </c>
      <c r="R265" s="18" t="s">
        <v>2</v>
      </c>
      <c r="S265" s="18" t="s">
        <v>2</v>
      </c>
      <c r="T265" s="12">
        <v>14.77</v>
      </c>
      <c r="U265" s="13">
        <f t="shared" si="39"/>
        <v>143.65</v>
      </c>
      <c r="V265" s="19" t="s">
        <v>3</v>
      </c>
      <c r="X265" s="3">
        <f t="shared" si="40"/>
        <v>14.77</v>
      </c>
    </row>
    <row r="266" spans="1:24" hidden="1" x14ac:dyDescent="0.25">
      <c r="A266" s="5" t="s">
        <v>243</v>
      </c>
      <c r="B266" s="18" t="s">
        <v>293</v>
      </c>
      <c r="C266" s="20" t="str">
        <f t="shared" si="36"/>
        <v>14</v>
      </c>
      <c r="D266" s="20" t="str">
        <f t="shared" si="37"/>
        <v>05</v>
      </c>
      <c r="E266" s="19" t="s">
        <v>21</v>
      </c>
      <c r="F266" s="19" t="s">
        <v>22</v>
      </c>
      <c r="G266" s="4" t="str">
        <f t="shared" si="38"/>
        <v>14/05/2021</v>
      </c>
      <c r="H266" s="19" t="s">
        <v>1</v>
      </c>
      <c r="I266" s="19" t="s">
        <v>0</v>
      </c>
      <c r="J266" s="5" t="s">
        <v>296</v>
      </c>
      <c r="K266" s="5" t="s">
        <v>55</v>
      </c>
      <c r="L266" s="22" t="str">
        <f>+VLOOKUP(K266,'[2]BASE DE PROVEEDORES'!$A:$B,2,0)</f>
        <v xml:space="preserve">DISTRIBUIDORA DE LUBRICANTES Y COMBUSTIBLES S.A DE C.V </v>
      </c>
      <c r="M266" s="25">
        <f>0.36+0.18</f>
        <v>0.54</v>
      </c>
      <c r="N266" s="5" t="s">
        <v>2</v>
      </c>
      <c r="O266" s="5" t="s">
        <v>2</v>
      </c>
      <c r="P266" s="6">
        <v>4.0199999999999996</v>
      </c>
      <c r="Q266" s="5" t="s">
        <v>2</v>
      </c>
      <c r="R266" s="18" t="s">
        <v>2</v>
      </c>
      <c r="S266" s="18" t="s">
        <v>2</v>
      </c>
      <c r="T266" s="12">
        <v>0.52</v>
      </c>
      <c r="U266" s="13">
        <f t="shared" si="39"/>
        <v>5.08</v>
      </c>
      <c r="V266" s="19" t="s">
        <v>3</v>
      </c>
      <c r="X266" s="3">
        <f t="shared" si="40"/>
        <v>0.52</v>
      </c>
    </row>
    <row r="267" spans="1:24" hidden="1" x14ac:dyDescent="0.25">
      <c r="A267" s="5" t="s">
        <v>243</v>
      </c>
      <c r="B267" s="18" t="s">
        <v>293</v>
      </c>
      <c r="C267" s="20" t="str">
        <f t="shared" si="36"/>
        <v>14</v>
      </c>
      <c r="D267" s="20" t="str">
        <f t="shared" si="37"/>
        <v>05</v>
      </c>
      <c r="E267" s="19" t="s">
        <v>21</v>
      </c>
      <c r="F267" s="19" t="s">
        <v>22</v>
      </c>
      <c r="G267" s="4" t="str">
        <f t="shared" si="38"/>
        <v>14/05/2021</v>
      </c>
      <c r="H267" s="19" t="s">
        <v>1</v>
      </c>
      <c r="I267" s="19" t="s">
        <v>0</v>
      </c>
      <c r="J267" s="5" t="s">
        <v>301</v>
      </c>
      <c r="K267" s="5" t="s">
        <v>55</v>
      </c>
      <c r="L267" s="22" t="str">
        <f>+VLOOKUP(K267,'[2]BASE DE PROVEEDORES'!$A:$B,2,0)</f>
        <v xml:space="preserve">DISTRIBUIDORA DE LUBRICANTES Y COMBUSTIBLES S.A DE C.V </v>
      </c>
      <c r="M267" s="25">
        <f>3.43+1.72</f>
        <v>5.15</v>
      </c>
      <c r="N267" s="5" t="s">
        <v>2</v>
      </c>
      <c r="O267" s="5" t="s">
        <v>2</v>
      </c>
      <c r="P267" s="6">
        <v>38.33</v>
      </c>
      <c r="Q267" s="5" t="s">
        <v>2</v>
      </c>
      <c r="R267" s="18" t="s">
        <v>2</v>
      </c>
      <c r="S267" s="18" t="s">
        <v>2</v>
      </c>
      <c r="T267" s="12">
        <v>4.9800000000000004</v>
      </c>
      <c r="U267" s="13">
        <f t="shared" si="39"/>
        <v>48.459999999999994</v>
      </c>
      <c r="V267" s="19" t="s">
        <v>3</v>
      </c>
      <c r="X267" s="3">
        <f t="shared" si="40"/>
        <v>4.9800000000000004</v>
      </c>
    </row>
    <row r="268" spans="1:24" hidden="1" x14ac:dyDescent="0.25">
      <c r="A268" s="5" t="s">
        <v>243</v>
      </c>
      <c r="B268" s="18" t="s">
        <v>246</v>
      </c>
      <c r="C268" s="20" t="str">
        <f t="shared" si="36"/>
        <v>15</v>
      </c>
      <c r="D268" s="20" t="str">
        <f t="shared" si="37"/>
        <v>05</v>
      </c>
      <c r="E268" s="19" t="s">
        <v>21</v>
      </c>
      <c r="F268" s="19" t="s">
        <v>22</v>
      </c>
      <c r="G268" s="4" t="str">
        <f t="shared" si="38"/>
        <v>15/05/2021</v>
      </c>
      <c r="H268" s="19" t="s">
        <v>1</v>
      </c>
      <c r="I268" s="19" t="s">
        <v>0</v>
      </c>
      <c r="J268" s="5" t="s">
        <v>247</v>
      </c>
      <c r="K268" s="5" t="s">
        <v>55</v>
      </c>
      <c r="L268" s="22" t="str">
        <f>+VLOOKUP(K268,'[2]BASE DE PROVEEDORES'!$A:$B,2,0)</f>
        <v xml:space="preserve">DISTRIBUIDORA DE LUBRICANTES Y COMBUSTIBLES S.A DE C.V </v>
      </c>
      <c r="M268" s="25">
        <v>1.5</v>
      </c>
      <c r="N268" s="5" t="s">
        <v>2</v>
      </c>
      <c r="O268" s="5" t="s">
        <v>2</v>
      </c>
      <c r="P268" s="6">
        <v>11.14</v>
      </c>
      <c r="Q268" s="5" t="s">
        <v>2</v>
      </c>
      <c r="R268" s="18" t="s">
        <v>2</v>
      </c>
      <c r="S268" s="18" t="s">
        <v>2</v>
      </c>
      <c r="T268" s="12">
        <v>1.45</v>
      </c>
      <c r="U268" s="13">
        <f t="shared" si="39"/>
        <v>14.09</v>
      </c>
      <c r="V268" s="19" t="s">
        <v>3</v>
      </c>
      <c r="X268" s="3">
        <f t="shared" si="40"/>
        <v>1.45</v>
      </c>
    </row>
    <row r="269" spans="1:24" hidden="1" x14ac:dyDescent="0.25">
      <c r="A269" s="5" t="s">
        <v>243</v>
      </c>
      <c r="B269" s="18" t="s">
        <v>246</v>
      </c>
      <c r="C269" s="20" t="str">
        <f t="shared" si="36"/>
        <v>15</v>
      </c>
      <c r="D269" s="20" t="str">
        <f t="shared" si="37"/>
        <v>05</v>
      </c>
      <c r="E269" s="19" t="s">
        <v>21</v>
      </c>
      <c r="F269" s="19" t="s">
        <v>22</v>
      </c>
      <c r="G269" s="4" t="str">
        <f t="shared" si="38"/>
        <v>15/05/2021</v>
      </c>
      <c r="H269" s="19" t="s">
        <v>1</v>
      </c>
      <c r="I269" s="19" t="s">
        <v>0</v>
      </c>
      <c r="J269" s="5" t="s">
        <v>292</v>
      </c>
      <c r="K269" s="5" t="s">
        <v>55</v>
      </c>
      <c r="L269" s="22" t="str">
        <f>+VLOOKUP(K269,'[2]BASE DE PROVEEDORES'!$A:$B,2,0)</f>
        <v xml:space="preserve">DISTRIBUIDORA DE LUBRICANTES Y COMBUSTIBLES S.A DE C.V </v>
      </c>
      <c r="M269" s="25">
        <f>9.84+4.92</f>
        <v>14.76</v>
      </c>
      <c r="N269" s="5" t="s">
        <v>2</v>
      </c>
      <c r="O269" s="5" t="s">
        <v>2</v>
      </c>
      <c r="P269" s="6">
        <v>109.78</v>
      </c>
      <c r="Q269" s="5" t="s">
        <v>2</v>
      </c>
      <c r="R269" s="18" t="s">
        <v>2</v>
      </c>
      <c r="S269" s="18" t="s">
        <v>2</v>
      </c>
      <c r="T269" s="12">
        <v>14.27</v>
      </c>
      <c r="U269" s="13">
        <f t="shared" si="39"/>
        <v>138.81</v>
      </c>
      <c r="V269" s="19" t="s">
        <v>3</v>
      </c>
      <c r="X269" s="3">
        <f t="shared" si="40"/>
        <v>14.27</v>
      </c>
    </row>
    <row r="270" spans="1:24" hidden="1" x14ac:dyDescent="0.25">
      <c r="A270" s="5" t="s">
        <v>243</v>
      </c>
      <c r="B270" s="18" t="s">
        <v>246</v>
      </c>
      <c r="C270" s="20" t="str">
        <f t="shared" si="36"/>
        <v>15</v>
      </c>
      <c r="D270" s="20" t="str">
        <f t="shared" si="37"/>
        <v>05</v>
      </c>
      <c r="E270" s="19" t="s">
        <v>21</v>
      </c>
      <c r="F270" s="19" t="s">
        <v>22</v>
      </c>
      <c r="G270" s="4" t="str">
        <f t="shared" si="38"/>
        <v>15/05/2021</v>
      </c>
      <c r="H270" s="19" t="s">
        <v>1</v>
      </c>
      <c r="I270" s="19" t="s">
        <v>0</v>
      </c>
      <c r="J270" s="5" t="s">
        <v>317</v>
      </c>
      <c r="K270" s="5" t="s">
        <v>55</v>
      </c>
      <c r="L270" s="22" t="str">
        <f>+VLOOKUP(K270,'[2]BASE DE PROVEEDORES'!$A:$B,2,0)</f>
        <v xml:space="preserve">DISTRIBUIDORA DE LUBRICANTES Y COMBUSTIBLES S.A DE C.V </v>
      </c>
      <c r="M270" s="25">
        <f>5.65+2.82</f>
        <v>8.4700000000000006</v>
      </c>
      <c r="N270" s="5" t="s">
        <v>2</v>
      </c>
      <c r="O270" s="5" t="s">
        <v>2</v>
      </c>
      <c r="P270" s="6">
        <v>63.05</v>
      </c>
      <c r="Q270" s="5" t="s">
        <v>2</v>
      </c>
      <c r="R270" s="18" t="s">
        <v>2</v>
      </c>
      <c r="S270" s="18" t="s">
        <v>2</v>
      </c>
      <c r="T270" s="12">
        <v>8.1999999999999993</v>
      </c>
      <c r="U270" s="13">
        <f t="shared" si="39"/>
        <v>79.72</v>
      </c>
      <c r="V270" s="19" t="s">
        <v>3</v>
      </c>
      <c r="X270" s="3">
        <f t="shared" si="40"/>
        <v>8.1999999999999993</v>
      </c>
    </row>
    <row r="271" spans="1:24" hidden="1" x14ac:dyDescent="0.25">
      <c r="A271" s="5" t="s">
        <v>243</v>
      </c>
      <c r="B271" s="18" t="s">
        <v>246</v>
      </c>
      <c r="C271" s="20" t="str">
        <f t="shared" si="36"/>
        <v>15</v>
      </c>
      <c r="D271" s="20" t="str">
        <f t="shared" si="37"/>
        <v>05</v>
      </c>
      <c r="E271" s="19" t="s">
        <v>21</v>
      </c>
      <c r="F271" s="19" t="s">
        <v>22</v>
      </c>
      <c r="G271" s="4" t="str">
        <f t="shared" si="38"/>
        <v>15/05/2021</v>
      </c>
      <c r="H271" s="19" t="s">
        <v>1</v>
      </c>
      <c r="I271" s="19" t="s">
        <v>0</v>
      </c>
      <c r="J271" s="5" t="s">
        <v>396</v>
      </c>
      <c r="K271" s="5" t="s">
        <v>37</v>
      </c>
      <c r="L271" s="22" t="str">
        <f>+VLOOKUP(K271,'[2]BASE DE PROVEEDORES'!$A:$B,2,0)</f>
        <v>INVERSIONES RAMIREZ QUINTANILLA S.A DE C.V.</v>
      </c>
      <c r="M271" s="25">
        <f>2.66+1.33</f>
        <v>3.99</v>
      </c>
      <c r="N271" s="5" t="s">
        <v>2</v>
      </c>
      <c r="O271" s="5" t="s">
        <v>2</v>
      </c>
      <c r="P271" s="6">
        <v>30.27</v>
      </c>
      <c r="Q271" s="5" t="s">
        <v>2</v>
      </c>
      <c r="R271" s="18" t="s">
        <v>2</v>
      </c>
      <c r="S271" s="18" t="s">
        <v>2</v>
      </c>
      <c r="T271" s="12">
        <v>3.94</v>
      </c>
      <c r="U271" s="13">
        <f t="shared" si="39"/>
        <v>38.199999999999996</v>
      </c>
      <c r="V271" s="19" t="s">
        <v>3</v>
      </c>
      <c r="X271" s="3">
        <f t="shared" si="40"/>
        <v>3.94</v>
      </c>
    </row>
    <row r="272" spans="1:24" hidden="1" x14ac:dyDescent="0.25">
      <c r="A272" s="5" t="s">
        <v>243</v>
      </c>
      <c r="B272" s="18" t="s">
        <v>246</v>
      </c>
      <c r="C272" s="20" t="str">
        <f t="shared" si="36"/>
        <v>15</v>
      </c>
      <c r="D272" s="20" t="str">
        <f t="shared" si="37"/>
        <v>05</v>
      </c>
      <c r="E272" s="19" t="s">
        <v>21</v>
      </c>
      <c r="F272" s="19" t="s">
        <v>22</v>
      </c>
      <c r="G272" s="4" t="str">
        <f t="shared" si="38"/>
        <v>15/05/2021</v>
      </c>
      <c r="H272" s="19" t="s">
        <v>1</v>
      </c>
      <c r="I272" s="19" t="s">
        <v>0</v>
      </c>
      <c r="J272" s="5" t="s">
        <v>446</v>
      </c>
      <c r="K272" s="5" t="s">
        <v>172</v>
      </c>
      <c r="L272" s="22" t="str">
        <f>+VLOOKUP(K272,'[2]BASE DE PROVEEDORES'!$A:$B,2,0)</f>
        <v>MUNFRE S.A DE C.V.</v>
      </c>
      <c r="M272" s="25">
        <v>0</v>
      </c>
      <c r="N272" s="5" t="s">
        <v>2</v>
      </c>
      <c r="O272" s="5" t="s">
        <v>2</v>
      </c>
      <c r="P272" s="6">
        <v>27.04</v>
      </c>
      <c r="Q272" s="5" t="s">
        <v>2</v>
      </c>
      <c r="R272" s="18" t="s">
        <v>2</v>
      </c>
      <c r="S272" s="18" t="s">
        <v>2</v>
      </c>
      <c r="T272" s="12">
        <v>3.52</v>
      </c>
      <c r="U272" s="13">
        <f t="shared" si="39"/>
        <v>30.56</v>
      </c>
      <c r="V272" s="19" t="s">
        <v>3</v>
      </c>
      <c r="X272" s="3">
        <f t="shared" si="40"/>
        <v>3.52</v>
      </c>
    </row>
    <row r="273" spans="1:24" hidden="1" x14ac:dyDescent="0.25">
      <c r="A273" s="5" t="s">
        <v>243</v>
      </c>
      <c r="B273" s="18" t="s">
        <v>246</v>
      </c>
      <c r="C273" s="20" t="str">
        <f t="shared" si="36"/>
        <v>15</v>
      </c>
      <c r="D273" s="20" t="str">
        <f t="shared" si="37"/>
        <v>05</v>
      </c>
      <c r="E273" s="19" t="s">
        <v>21</v>
      </c>
      <c r="F273" s="19" t="s">
        <v>22</v>
      </c>
      <c r="G273" s="4" t="str">
        <f t="shared" si="38"/>
        <v>15/05/2021</v>
      </c>
      <c r="H273" s="19" t="s">
        <v>1</v>
      </c>
      <c r="I273" s="19" t="s">
        <v>0</v>
      </c>
      <c r="J273" s="5" t="s">
        <v>463</v>
      </c>
      <c r="K273" s="5" t="s">
        <v>172</v>
      </c>
      <c r="L273" s="22" t="str">
        <f>+VLOOKUP(K273,'[2]BASE DE PROVEEDORES'!$A:$B,2,0)</f>
        <v>MUNFRE S.A DE C.V.</v>
      </c>
      <c r="M273" s="25">
        <v>0</v>
      </c>
      <c r="N273" s="5" t="s">
        <v>2</v>
      </c>
      <c r="O273" s="5" t="s">
        <v>2</v>
      </c>
      <c r="P273" s="6">
        <v>14.3</v>
      </c>
      <c r="Q273" s="5" t="s">
        <v>2</v>
      </c>
      <c r="R273" s="18" t="s">
        <v>2</v>
      </c>
      <c r="S273" s="18" t="s">
        <v>2</v>
      </c>
      <c r="T273" s="12">
        <v>1.86</v>
      </c>
      <c r="U273" s="13">
        <f t="shared" si="39"/>
        <v>16.16</v>
      </c>
      <c r="V273" s="19" t="s">
        <v>3</v>
      </c>
      <c r="X273" s="3">
        <f t="shared" si="40"/>
        <v>1.86</v>
      </c>
    </row>
    <row r="274" spans="1:24" hidden="1" x14ac:dyDescent="0.25">
      <c r="A274" s="5" t="s">
        <v>243</v>
      </c>
      <c r="B274" s="18" t="s">
        <v>404</v>
      </c>
      <c r="C274" s="20" t="str">
        <f t="shared" si="36"/>
        <v>16</v>
      </c>
      <c r="D274" s="20" t="str">
        <f t="shared" si="37"/>
        <v>05</v>
      </c>
      <c r="E274" s="19" t="s">
        <v>21</v>
      </c>
      <c r="F274" s="19" t="s">
        <v>22</v>
      </c>
      <c r="G274" s="4" t="str">
        <f t="shared" si="38"/>
        <v>16/05/2021</v>
      </c>
      <c r="H274" s="19" t="s">
        <v>1</v>
      </c>
      <c r="I274" s="19" t="s">
        <v>0</v>
      </c>
      <c r="J274" s="5" t="s">
        <v>405</v>
      </c>
      <c r="K274" s="5" t="s">
        <v>42</v>
      </c>
      <c r="L274" s="22" t="str">
        <f>+VLOOKUP(K274,'[2]BASE DE PROVEEDORES'!$A:$B,2,0)</f>
        <v>ECSA OPERADORA EL SALVADOR S.A DE C.V.</v>
      </c>
      <c r="M274" s="25">
        <v>2.4900000000000002</v>
      </c>
      <c r="N274" s="5" t="s">
        <v>2</v>
      </c>
      <c r="O274" s="5" t="s">
        <v>2</v>
      </c>
      <c r="P274" s="6">
        <v>23.93</v>
      </c>
      <c r="Q274" s="5" t="s">
        <v>2</v>
      </c>
      <c r="R274" s="18" t="s">
        <v>2</v>
      </c>
      <c r="S274" s="18" t="s">
        <v>2</v>
      </c>
      <c r="T274" s="12">
        <v>3.11</v>
      </c>
      <c r="U274" s="13">
        <f t="shared" si="39"/>
        <v>29.53</v>
      </c>
      <c r="V274" s="19" t="s">
        <v>3</v>
      </c>
      <c r="X274" s="3">
        <f t="shared" si="40"/>
        <v>3.11</v>
      </c>
    </row>
    <row r="275" spans="1:24" hidden="1" x14ac:dyDescent="0.25">
      <c r="A275" s="5" t="s">
        <v>243</v>
      </c>
      <c r="B275" s="18" t="s">
        <v>404</v>
      </c>
      <c r="C275" s="20" t="str">
        <f t="shared" si="36"/>
        <v>16</v>
      </c>
      <c r="D275" s="20" t="str">
        <f t="shared" si="37"/>
        <v>05</v>
      </c>
      <c r="E275" s="19" t="s">
        <v>21</v>
      </c>
      <c r="F275" s="19" t="s">
        <v>22</v>
      </c>
      <c r="G275" s="4" t="str">
        <f t="shared" si="38"/>
        <v>16/05/2021</v>
      </c>
      <c r="H275" s="19" t="s">
        <v>1</v>
      </c>
      <c r="I275" s="19" t="s">
        <v>0</v>
      </c>
      <c r="J275" s="5" t="s">
        <v>417</v>
      </c>
      <c r="K275" s="5" t="s">
        <v>37</v>
      </c>
      <c r="L275" s="22" t="str">
        <f>+VLOOKUP(K275,'[2]BASE DE PROVEEDORES'!$A:$B,2,0)</f>
        <v>INVERSIONES RAMIREZ QUINTANILLA S.A DE C.V.</v>
      </c>
      <c r="M275" s="25">
        <f>4.41+2.21</f>
        <v>6.62</v>
      </c>
      <c r="N275" s="5" t="s">
        <v>2</v>
      </c>
      <c r="O275" s="5" t="s">
        <v>2</v>
      </c>
      <c r="P275" s="6">
        <v>50.78</v>
      </c>
      <c r="Q275" s="5" t="s">
        <v>2</v>
      </c>
      <c r="R275" s="18" t="s">
        <v>2</v>
      </c>
      <c r="S275" s="18" t="s">
        <v>2</v>
      </c>
      <c r="T275" s="12">
        <v>6.6</v>
      </c>
      <c r="U275" s="13">
        <f t="shared" si="39"/>
        <v>64</v>
      </c>
      <c r="V275" s="19" t="s">
        <v>3</v>
      </c>
      <c r="X275" s="3">
        <f t="shared" si="40"/>
        <v>6.6</v>
      </c>
    </row>
    <row r="276" spans="1:24" hidden="1" x14ac:dyDescent="0.25">
      <c r="A276" s="5" t="s">
        <v>243</v>
      </c>
      <c r="B276" s="18" t="s">
        <v>404</v>
      </c>
      <c r="C276" s="20" t="str">
        <f t="shared" si="36"/>
        <v>16</v>
      </c>
      <c r="D276" s="20" t="str">
        <f t="shared" si="37"/>
        <v>05</v>
      </c>
      <c r="E276" s="19" t="s">
        <v>21</v>
      </c>
      <c r="F276" s="19" t="s">
        <v>22</v>
      </c>
      <c r="G276" s="4" t="str">
        <f t="shared" si="38"/>
        <v>16/05/2021</v>
      </c>
      <c r="H276" s="19" t="s">
        <v>1</v>
      </c>
      <c r="I276" s="19" t="s">
        <v>0</v>
      </c>
      <c r="J276" s="5" t="s">
        <v>458</v>
      </c>
      <c r="K276" s="5" t="s">
        <v>412</v>
      </c>
      <c r="L276" s="22" t="str">
        <f>+VLOOKUP(K276,'[2]BASE DE PROVEEDORES'!$A:$B,2,0)</f>
        <v>AMERICAN PETROLEUM DE EL SALVADOR S.A DE C.V.</v>
      </c>
      <c r="M276" s="25">
        <v>12.3</v>
      </c>
      <c r="N276" s="5" t="s">
        <v>2</v>
      </c>
      <c r="O276" s="5" t="s">
        <v>2</v>
      </c>
      <c r="P276" s="6">
        <v>95.55</v>
      </c>
      <c r="Q276" s="5" t="s">
        <v>2</v>
      </c>
      <c r="R276" s="18" t="s">
        <v>2</v>
      </c>
      <c r="S276" s="18" t="s">
        <v>2</v>
      </c>
      <c r="T276" s="12">
        <v>12.42</v>
      </c>
      <c r="U276" s="13">
        <f t="shared" si="39"/>
        <v>120.27</v>
      </c>
      <c r="V276" s="19" t="s">
        <v>3</v>
      </c>
      <c r="X276" s="3">
        <f t="shared" si="40"/>
        <v>12.42</v>
      </c>
    </row>
    <row r="277" spans="1:24" hidden="1" x14ac:dyDescent="0.25">
      <c r="A277" s="5" t="s">
        <v>243</v>
      </c>
      <c r="B277" s="18" t="s">
        <v>402</v>
      </c>
      <c r="C277" s="20" t="str">
        <f t="shared" si="36"/>
        <v>17</v>
      </c>
      <c r="D277" s="20" t="str">
        <f t="shared" si="37"/>
        <v>05</v>
      </c>
      <c r="E277" s="19" t="s">
        <v>21</v>
      </c>
      <c r="F277" s="19" t="s">
        <v>22</v>
      </c>
      <c r="G277" s="4" t="str">
        <f t="shared" si="38"/>
        <v>17/05/2021</v>
      </c>
      <c r="H277" s="19" t="s">
        <v>1</v>
      </c>
      <c r="I277" s="19" t="s">
        <v>0</v>
      </c>
      <c r="J277" s="5" t="s">
        <v>403</v>
      </c>
      <c r="K277" s="5" t="s">
        <v>42</v>
      </c>
      <c r="L277" s="22" t="str">
        <f>+VLOOKUP(K277,'[2]BASE DE PROVEEDORES'!$A:$B,2,0)</f>
        <v>ECSA OPERADORA EL SALVADOR S.A DE C.V.</v>
      </c>
      <c r="M277" s="25">
        <v>9.9600000000000009</v>
      </c>
      <c r="N277" s="5" t="s">
        <v>2</v>
      </c>
      <c r="O277" s="5" t="s">
        <v>2</v>
      </c>
      <c r="P277" s="6">
        <v>74.92</v>
      </c>
      <c r="Q277" s="5" t="s">
        <v>2</v>
      </c>
      <c r="R277" s="18" t="s">
        <v>2</v>
      </c>
      <c r="S277" s="18" t="s">
        <v>2</v>
      </c>
      <c r="T277" s="12">
        <v>9.74</v>
      </c>
      <c r="U277" s="13">
        <f t="shared" si="39"/>
        <v>94.61999999999999</v>
      </c>
      <c r="V277" s="19" t="s">
        <v>3</v>
      </c>
      <c r="X277" s="3">
        <f t="shared" si="40"/>
        <v>9.74</v>
      </c>
    </row>
    <row r="278" spans="1:24" hidden="1" x14ac:dyDescent="0.25">
      <c r="A278" s="5" t="s">
        <v>243</v>
      </c>
      <c r="B278" s="18" t="s">
        <v>402</v>
      </c>
      <c r="C278" s="20" t="str">
        <f t="shared" si="36"/>
        <v>17</v>
      </c>
      <c r="D278" s="20" t="str">
        <f t="shared" si="37"/>
        <v>05</v>
      </c>
      <c r="E278" s="19" t="s">
        <v>21</v>
      </c>
      <c r="F278" s="19" t="s">
        <v>22</v>
      </c>
      <c r="G278" s="4" t="str">
        <f t="shared" si="38"/>
        <v>17/05/2021</v>
      </c>
      <c r="H278" s="19" t="s">
        <v>1</v>
      </c>
      <c r="I278" s="19" t="s">
        <v>0</v>
      </c>
      <c r="J278" s="5" t="s">
        <v>427</v>
      </c>
      <c r="K278" s="5" t="s">
        <v>172</v>
      </c>
      <c r="L278" s="22" t="str">
        <f>+VLOOKUP(K278,'[2]BASE DE PROVEEDORES'!$A:$B,2,0)</f>
        <v>MUNFRE S.A DE C.V.</v>
      </c>
      <c r="M278" s="25">
        <v>0</v>
      </c>
      <c r="N278" s="5" t="s">
        <v>2</v>
      </c>
      <c r="O278" s="5" t="s">
        <v>2</v>
      </c>
      <c r="P278" s="6">
        <v>21.44</v>
      </c>
      <c r="Q278" s="5" t="s">
        <v>2</v>
      </c>
      <c r="R278" s="18" t="s">
        <v>2</v>
      </c>
      <c r="S278" s="18" t="s">
        <v>2</v>
      </c>
      <c r="T278" s="12">
        <v>2.79</v>
      </c>
      <c r="U278" s="13">
        <f t="shared" si="39"/>
        <v>24.23</v>
      </c>
      <c r="V278" s="19" t="s">
        <v>3</v>
      </c>
      <c r="X278" s="3">
        <f t="shared" si="40"/>
        <v>2.79</v>
      </c>
    </row>
    <row r="279" spans="1:24" hidden="1" x14ac:dyDescent="0.25">
      <c r="A279" s="5" t="s">
        <v>243</v>
      </c>
      <c r="B279" s="18" t="s">
        <v>402</v>
      </c>
      <c r="C279" s="20" t="str">
        <f t="shared" si="36"/>
        <v>17</v>
      </c>
      <c r="D279" s="20" t="str">
        <f t="shared" si="37"/>
        <v>05</v>
      </c>
      <c r="E279" s="19" t="s">
        <v>21</v>
      </c>
      <c r="F279" s="19" t="s">
        <v>22</v>
      </c>
      <c r="G279" s="4" t="str">
        <f t="shared" si="38"/>
        <v>17/05/2021</v>
      </c>
      <c r="H279" s="19" t="s">
        <v>1</v>
      </c>
      <c r="I279" s="19" t="s">
        <v>0</v>
      </c>
      <c r="J279" s="5" t="s">
        <v>453</v>
      </c>
      <c r="K279" s="5" t="s">
        <v>454</v>
      </c>
      <c r="L279" s="22" t="str">
        <f>+VLOOKUP(K279,'[2]BASE DE PROVEEDORES'!$A:$B,2,0)</f>
        <v>ALMACENES DE REPUESTOS MONTERREY</v>
      </c>
      <c r="M279" s="25">
        <v>0</v>
      </c>
      <c r="N279" s="5" t="s">
        <v>2</v>
      </c>
      <c r="O279" s="5" t="s">
        <v>2</v>
      </c>
      <c r="P279" s="6">
        <v>39.42</v>
      </c>
      <c r="Q279" s="5" t="s">
        <v>2</v>
      </c>
      <c r="R279" s="18" t="s">
        <v>2</v>
      </c>
      <c r="S279" s="18" t="s">
        <v>2</v>
      </c>
      <c r="T279" s="12">
        <v>5.12</v>
      </c>
      <c r="U279" s="13">
        <f t="shared" si="39"/>
        <v>44.54</v>
      </c>
      <c r="V279" s="19" t="s">
        <v>3</v>
      </c>
      <c r="X279" s="3">
        <f t="shared" si="40"/>
        <v>5.12</v>
      </c>
    </row>
    <row r="280" spans="1:24" hidden="1" x14ac:dyDescent="0.25">
      <c r="A280" s="5" t="s">
        <v>243</v>
      </c>
      <c r="B280" s="18" t="s">
        <v>402</v>
      </c>
      <c r="C280" s="20" t="str">
        <f t="shared" si="36"/>
        <v>17</v>
      </c>
      <c r="D280" s="20" t="str">
        <f t="shared" si="37"/>
        <v>05</v>
      </c>
      <c r="E280" s="19" t="s">
        <v>21</v>
      </c>
      <c r="F280" s="19" t="s">
        <v>22</v>
      </c>
      <c r="G280" s="4" t="str">
        <f t="shared" si="38"/>
        <v>17/05/2021</v>
      </c>
      <c r="H280" s="19" t="s">
        <v>1</v>
      </c>
      <c r="I280" s="19" t="s">
        <v>0</v>
      </c>
      <c r="J280" s="5" t="s">
        <v>472</v>
      </c>
      <c r="K280" s="5" t="s">
        <v>473</v>
      </c>
      <c r="L280" s="22" t="str">
        <f>+VLOOKUP(K280,'[2]BASE DE PROVEEDORES'!$A:$B,2,0)</f>
        <v>CENTRO DE RESORTES S.A DE C.V.</v>
      </c>
      <c r="M280" s="25">
        <v>0</v>
      </c>
      <c r="N280" s="5" t="s">
        <v>2</v>
      </c>
      <c r="O280" s="5" t="s">
        <v>2</v>
      </c>
      <c r="P280" s="6">
        <v>328</v>
      </c>
      <c r="Q280" s="5" t="s">
        <v>2</v>
      </c>
      <c r="R280" s="18" t="s">
        <v>2</v>
      </c>
      <c r="S280" s="18" t="s">
        <v>2</v>
      </c>
      <c r="T280" s="12">
        <v>42.64</v>
      </c>
      <c r="U280" s="13">
        <f t="shared" si="39"/>
        <v>370.64</v>
      </c>
      <c r="V280" s="19" t="s">
        <v>3</v>
      </c>
      <c r="X280" s="3">
        <f t="shared" si="40"/>
        <v>42.64</v>
      </c>
    </row>
    <row r="281" spans="1:24" hidden="1" x14ac:dyDescent="0.25">
      <c r="A281" s="5" t="s">
        <v>243</v>
      </c>
      <c r="B281" s="18" t="s">
        <v>406</v>
      </c>
      <c r="C281" s="20" t="str">
        <f t="shared" si="36"/>
        <v>18</v>
      </c>
      <c r="D281" s="20" t="str">
        <f t="shared" si="37"/>
        <v>05</v>
      </c>
      <c r="E281" s="19" t="s">
        <v>21</v>
      </c>
      <c r="F281" s="19" t="s">
        <v>22</v>
      </c>
      <c r="G281" s="4" t="str">
        <f t="shared" si="38"/>
        <v>18/05/2021</v>
      </c>
      <c r="H281" s="19" t="s">
        <v>1</v>
      </c>
      <c r="I281" s="19" t="s">
        <v>0</v>
      </c>
      <c r="J281" s="5" t="s">
        <v>407</v>
      </c>
      <c r="K281" s="5" t="s">
        <v>42</v>
      </c>
      <c r="L281" s="22" t="str">
        <f>+VLOOKUP(K281,'[2]BASE DE PROVEEDORES'!$A:$B,2,0)</f>
        <v>ECSA OPERADORA EL SALVADOR S.A DE C.V.</v>
      </c>
      <c r="M281" s="25">
        <v>5.48</v>
      </c>
      <c r="N281" s="5" t="s">
        <v>2</v>
      </c>
      <c r="O281" s="5" t="s">
        <v>2</v>
      </c>
      <c r="P281" s="6">
        <v>43.02</v>
      </c>
      <c r="Q281" s="5" t="s">
        <v>2</v>
      </c>
      <c r="R281" s="18" t="s">
        <v>2</v>
      </c>
      <c r="S281" s="18" t="s">
        <v>2</v>
      </c>
      <c r="T281" s="12">
        <v>5.59</v>
      </c>
      <c r="U281" s="13">
        <f t="shared" si="39"/>
        <v>54.09</v>
      </c>
      <c r="V281" s="19" t="s">
        <v>3</v>
      </c>
      <c r="X281" s="3">
        <f t="shared" si="40"/>
        <v>5.59</v>
      </c>
    </row>
    <row r="282" spans="1:24" hidden="1" x14ac:dyDescent="0.25">
      <c r="A282" s="5" t="s">
        <v>243</v>
      </c>
      <c r="B282" s="18" t="s">
        <v>406</v>
      </c>
      <c r="C282" s="20" t="str">
        <f t="shared" si="36"/>
        <v>18</v>
      </c>
      <c r="D282" s="20" t="str">
        <f t="shared" si="37"/>
        <v>05</v>
      </c>
      <c r="E282" s="19" t="s">
        <v>21</v>
      </c>
      <c r="F282" s="19" t="s">
        <v>22</v>
      </c>
      <c r="G282" s="4" t="str">
        <f t="shared" si="38"/>
        <v>18/05/2021</v>
      </c>
      <c r="H282" s="19" t="s">
        <v>1</v>
      </c>
      <c r="I282" s="19" t="s">
        <v>0</v>
      </c>
      <c r="J282" s="5" t="s">
        <v>459</v>
      </c>
      <c r="K282" s="5" t="s">
        <v>460</v>
      </c>
      <c r="L282" s="22" t="str">
        <f>+VLOOKUP(K282,'[2]BASE DE PROVEEDORES'!$A:$B,2,0)</f>
        <v>IMGRAL S.A DE C.V.</v>
      </c>
      <c r="M282" s="25">
        <v>0</v>
      </c>
      <c r="N282" s="5" t="s">
        <v>2</v>
      </c>
      <c r="O282" s="5" t="s">
        <v>2</v>
      </c>
      <c r="P282" s="6">
        <v>101.59</v>
      </c>
      <c r="Q282" s="5" t="s">
        <v>2</v>
      </c>
      <c r="R282" s="18" t="s">
        <v>2</v>
      </c>
      <c r="S282" s="18" t="s">
        <v>2</v>
      </c>
      <c r="T282" s="12">
        <v>13.21</v>
      </c>
      <c r="U282" s="13">
        <f t="shared" si="39"/>
        <v>114.80000000000001</v>
      </c>
      <c r="V282" s="19" t="s">
        <v>3</v>
      </c>
      <c r="X282" s="3">
        <f t="shared" si="40"/>
        <v>13.21</v>
      </c>
    </row>
    <row r="283" spans="1:24" hidden="1" x14ac:dyDescent="0.25">
      <c r="A283" s="5" t="s">
        <v>243</v>
      </c>
      <c r="B283" s="18" t="s">
        <v>260</v>
      </c>
      <c r="C283" s="20" t="str">
        <f t="shared" si="36"/>
        <v>19</v>
      </c>
      <c r="D283" s="20" t="str">
        <f t="shared" si="37"/>
        <v>05</v>
      </c>
      <c r="E283" s="19" t="s">
        <v>21</v>
      </c>
      <c r="F283" s="19" t="s">
        <v>22</v>
      </c>
      <c r="G283" s="4" t="str">
        <f t="shared" si="38"/>
        <v>19/05/2021</v>
      </c>
      <c r="H283" s="19" t="s">
        <v>1</v>
      </c>
      <c r="I283" s="19" t="s">
        <v>0</v>
      </c>
      <c r="J283" s="5" t="s">
        <v>261</v>
      </c>
      <c r="K283" s="5" t="s">
        <v>55</v>
      </c>
      <c r="L283" s="22" t="str">
        <f>+VLOOKUP(K283,'[2]BASE DE PROVEEDORES'!$A:$B,2,0)</f>
        <v xml:space="preserve">DISTRIBUIDORA DE LUBRICANTES Y COMBUSTIBLES S.A DE C.V </v>
      </c>
      <c r="M283" s="25">
        <v>1.5</v>
      </c>
      <c r="N283" s="5" t="s">
        <v>2</v>
      </c>
      <c r="O283" s="5" t="s">
        <v>2</v>
      </c>
      <c r="P283" s="6">
        <v>14.2</v>
      </c>
      <c r="Q283" s="5" t="s">
        <v>2</v>
      </c>
      <c r="R283" s="18" t="s">
        <v>2</v>
      </c>
      <c r="S283" s="18" t="s">
        <v>2</v>
      </c>
      <c r="T283" s="12">
        <v>1.85</v>
      </c>
      <c r="U283" s="13">
        <f t="shared" si="39"/>
        <v>17.55</v>
      </c>
      <c r="V283" s="19" t="s">
        <v>3</v>
      </c>
      <c r="X283" s="3">
        <f t="shared" si="40"/>
        <v>1.85</v>
      </c>
    </row>
    <row r="284" spans="1:24" hidden="1" x14ac:dyDescent="0.25">
      <c r="A284" s="5" t="s">
        <v>243</v>
      </c>
      <c r="B284" s="18" t="s">
        <v>260</v>
      </c>
      <c r="C284" s="20" t="str">
        <f t="shared" si="36"/>
        <v>19</v>
      </c>
      <c r="D284" s="20" t="str">
        <f t="shared" si="37"/>
        <v>05</v>
      </c>
      <c r="E284" s="19" t="s">
        <v>21</v>
      </c>
      <c r="F284" s="19" t="s">
        <v>22</v>
      </c>
      <c r="G284" s="4" t="str">
        <f t="shared" si="38"/>
        <v>19/05/2021</v>
      </c>
      <c r="H284" s="19" t="s">
        <v>1</v>
      </c>
      <c r="I284" s="19" t="s">
        <v>0</v>
      </c>
      <c r="J284" s="5" t="s">
        <v>318</v>
      </c>
      <c r="K284" s="5" t="s">
        <v>55</v>
      </c>
      <c r="L284" s="22" t="str">
        <f>+VLOOKUP(K284,'[2]BASE DE PROVEEDORES'!$A:$B,2,0)</f>
        <v xml:space="preserve">DISTRIBUIDORA DE LUBRICANTES Y COMBUSTIBLES S.A DE C.V </v>
      </c>
      <c r="M284" s="25">
        <f>13+6.5</f>
        <v>19.5</v>
      </c>
      <c r="N284" s="5" t="s">
        <v>2</v>
      </c>
      <c r="O284" s="5" t="s">
        <v>2</v>
      </c>
      <c r="P284" s="6">
        <v>151</v>
      </c>
      <c r="Q284" s="5" t="s">
        <v>2</v>
      </c>
      <c r="R284" s="18" t="s">
        <v>2</v>
      </c>
      <c r="S284" s="18" t="s">
        <v>2</v>
      </c>
      <c r="T284" s="12">
        <v>19.63</v>
      </c>
      <c r="U284" s="13">
        <f t="shared" si="39"/>
        <v>190.13</v>
      </c>
      <c r="V284" s="19" t="s">
        <v>3</v>
      </c>
      <c r="X284" s="3">
        <f t="shared" si="40"/>
        <v>19.63</v>
      </c>
    </row>
    <row r="285" spans="1:24" hidden="1" x14ac:dyDescent="0.25">
      <c r="A285" s="5" t="s">
        <v>243</v>
      </c>
      <c r="B285" s="18" t="s">
        <v>260</v>
      </c>
      <c r="C285" s="20" t="str">
        <f t="shared" si="36"/>
        <v>19</v>
      </c>
      <c r="D285" s="20" t="str">
        <f t="shared" si="37"/>
        <v>05</v>
      </c>
      <c r="E285" s="19" t="s">
        <v>21</v>
      </c>
      <c r="F285" s="19" t="s">
        <v>22</v>
      </c>
      <c r="G285" s="4" t="str">
        <f t="shared" si="38"/>
        <v>19/05/2021</v>
      </c>
      <c r="H285" s="19" t="s">
        <v>1</v>
      </c>
      <c r="I285" s="19" t="s">
        <v>0</v>
      </c>
      <c r="J285" s="5" t="s">
        <v>408</v>
      </c>
      <c r="K285" s="5" t="s">
        <v>42</v>
      </c>
      <c r="L285" s="22" t="str">
        <f>+VLOOKUP(K285,'[2]BASE DE PROVEEDORES'!$A:$B,2,0)</f>
        <v>ECSA OPERADORA EL SALVADOR S.A DE C.V.</v>
      </c>
      <c r="M285" s="25">
        <v>2.0299999999999998</v>
      </c>
      <c r="N285" s="5" t="s">
        <v>2</v>
      </c>
      <c r="O285" s="5" t="s">
        <v>2</v>
      </c>
      <c r="P285" s="6">
        <v>15.9</v>
      </c>
      <c r="Q285" s="5" t="s">
        <v>2</v>
      </c>
      <c r="R285" s="18" t="s">
        <v>2</v>
      </c>
      <c r="S285" s="18" t="s">
        <v>2</v>
      </c>
      <c r="T285" s="12">
        <v>2.0699999999999998</v>
      </c>
      <c r="U285" s="13">
        <f t="shared" si="39"/>
        <v>20</v>
      </c>
      <c r="V285" s="19" t="s">
        <v>3</v>
      </c>
      <c r="X285" s="3">
        <f t="shared" si="40"/>
        <v>2.0699999999999998</v>
      </c>
    </row>
    <row r="286" spans="1:24" hidden="1" x14ac:dyDescent="0.25">
      <c r="A286" s="5" t="s">
        <v>243</v>
      </c>
      <c r="B286" s="18" t="s">
        <v>260</v>
      </c>
      <c r="C286" s="20" t="str">
        <f t="shared" si="36"/>
        <v>19</v>
      </c>
      <c r="D286" s="20" t="str">
        <f t="shared" si="37"/>
        <v>05</v>
      </c>
      <c r="E286" s="19" t="s">
        <v>21</v>
      </c>
      <c r="F286" s="19" t="s">
        <v>22</v>
      </c>
      <c r="G286" s="4" t="str">
        <f t="shared" si="38"/>
        <v>19/05/2021</v>
      </c>
      <c r="H286" s="19" t="s">
        <v>1</v>
      </c>
      <c r="I286" s="19" t="s">
        <v>0</v>
      </c>
      <c r="J286" s="5" t="s">
        <v>461</v>
      </c>
      <c r="K286" s="5" t="s">
        <v>149</v>
      </c>
      <c r="L286" s="22" t="str">
        <f>+VLOOKUP(K286,'[2]BASE DE PROVEEDORES'!$A:$B,2,0)</f>
        <v>ALMACENES VIDRI, S.A DE C.V.</v>
      </c>
      <c r="M286" s="25">
        <v>0</v>
      </c>
      <c r="N286" s="5" t="s">
        <v>2</v>
      </c>
      <c r="O286" s="5" t="s">
        <v>2</v>
      </c>
      <c r="P286" s="6">
        <v>26.11</v>
      </c>
      <c r="Q286" s="5" t="s">
        <v>2</v>
      </c>
      <c r="R286" s="18" t="s">
        <v>2</v>
      </c>
      <c r="S286" s="18" t="s">
        <v>2</v>
      </c>
      <c r="T286" s="12">
        <v>3.39</v>
      </c>
      <c r="U286" s="13">
        <f t="shared" si="39"/>
        <v>29.5</v>
      </c>
      <c r="V286" s="19" t="s">
        <v>3</v>
      </c>
      <c r="X286" s="3">
        <f t="shared" si="40"/>
        <v>3.39</v>
      </c>
    </row>
    <row r="287" spans="1:24" hidden="1" x14ac:dyDescent="0.25">
      <c r="A287" s="5" t="s">
        <v>243</v>
      </c>
      <c r="B287" s="18" t="s">
        <v>260</v>
      </c>
      <c r="C287" s="20" t="str">
        <f t="shared" si="36"/>
        <v>19</v>
      </c>
      <c r="D287" s="20" t="str">
        <f t="shared" si="37"/>
        <v>05</v>
      </c>
      <c r="E287" s="19" t="s">
        <v>21</v>
      </c>
      <c r="F287" s="19" t="s">
        <v>22</v>
      </c>
      <c r="G287" s="4" t="str">
        <f t="shared" si="38"/>
        <v>19/05/2021</v>
      </c>
      <c r="H287" s="19" t="s">
        <v>1</v>
      </c>
      <c r="I287" s="19" t="s">
        <v>0</v>
      </c>
      <c r="J287" s="5" t="s">
        <v>466</v>
      </c>
      <c r="K287" s="5" t="s">
        <v>467</v>
      </c>
      <c r="L287" s="22" t="str">
        <f>+VLOOKUP(K287,'[2]BASE DE PROVEEDORES'!$A:$B,2,0)</f>
        <v>AUTOZAMA S.A DE C.V.</v>
      </c>
      <c r="M287" s="25">
        <v>0</v>
      </c>
      <c r="N287" s="5" t="s">
        <v>2</v>
      </c>
      <c r="O287" s="5" t="s">
        <v>2</v>
      </c>
      <c r="P287" s="6">
        <v>100</v>
      </c>
      <c r="Q287" s="5" t="s">
        <v>2</v>
      </c>
      <c r="R287" s="18" t="s">
        <v>2</v>
      </c>
      <c r="S287" s="18" t="s">
        <v>2</v>
      </c>
      <c r="T287" s="12">
        <v>13</v>
      </c>
      <c r="U287" s="13">
        <f t="shared" si="39"/>
        <v>113</v>
      </c>
      <c r="V287" s="19" t="s">
        <v>3</v>
      </c>
      <c r="X287" s="3">
        <f t="shared" si="40"/>
        <v>13</v>
      </c>
    </row>
    <row r="288" spans="1:24" hidden="1" x14ac:dyDescent="0.25">
      <c r="A288" s="5" t="s">
        <v>243</v>
      </c>
      <c r="B288" s="18" t="s">
        <v>260</v>
      </c>
      <c r="C288" s="20" t="str">
        <f t="shared" si="36"/>
        <v>19</v>
      </c>
      <c r="D288" s="20" t="str">
        <f t="shared" si="37"/>
        <v>05</v>
      </c>
      <c r="E288" s="19" t="s">
        <v>21</v>
      </c>
      <c r="F288" s="19" t="s">
        <v>22</v>
      </c>
      <c r="G288" s="4" t="str">
        <f t="shared" si="38"/>
        <v>19/05/2021</v>
      </c>
      <c r="H288" s="19" t="s">
        <v>1</v>
      </c>
      <c r="I288" s="19" t="s">
        <v>0</v>
      </c>
      <c r="J288" s="5" t="s">
        <v>468</v>
      </c>
      <c r="K288" s="5" t="s">
        <v>467</v>
      </c>
      <c r="L288" s="22" t="str">
        <f>+VLOOKUP(K288,'[2]BASE DE PROVEEDORES'!$A:$B,2,0)</f>
        <v>AUTOZAMA S.A DE C.V.</v>
      </c>
      <c r="M288" s="25">
        <v>0</v>
      </c>
      <c r="N288" s="5" t="s">
        <v>2</v>
      </c>
      <c r="O288" s="5" t="s">
        <v>2</v>
      </c>
      <c r="P288" s="6">
        <v>650</v>
      </c>
      <c r="Q288" s="5" t="s">
        <v>2</v>
      </c>
      <c r="R288" s="18" t="s">
        <v>2</v>
      </c>
      <c r="S288" s="18" t="s">
        <v>2</v>
      </c>
      <c r="T288" s="12">
        <v>84.5</v>
      </c>
      <c r="U288" s="13">
        <f t="shared" si="39"/>
        <v>734.5</v>
      </c>
      <c r="V288" s="19" t="s">
        <v>3</v>
      </c>
      <c r="X288" s="3">
        <f t="shared" si="40"/>
        <v>84.5</v>
      </c>
    </row>
    <row r="289" spans="1:24" hidden="1" x14ac:dyDescent="0.25">
      <c r="A289" s="5" t="s">
        <v>243</v>
      </c>
      <c r="B289" s="18" t="s">
        <v>260</v>
      </c>
      <c r="C289" s="20" t="str">
        <f t="shared" si="36"/>
        <v>19</v>
      </c>
      <c r="D289" s="20" t="str">
        <f t="shared" si="37"/>
        <v>05</v>
      </c>
      <c r="E289" s="19" t="s">
        <v>21</v>
      </c>
      <c r="F289" s="19" t="s">
        <v>22</v>
      </c>
      <c r="G289" s="4" t="str">
        <f t="shared" si="38"/>
        <v>19/05/2021</v>
      </c>
      <c r="H289" s="19" t="s">
        <v>1</v>
      </c>
      <c r="I289" s="19" t="s">
        <v>0</v>
      </c>
      <c r="J289" s="5" t="s">
        <v>475</v>
      </c>
      <c r="K289" s="5" t="s">
        <v>164</v>
      </c>
      <c r="L289" s="22" t="str">
        <f>+VLOOKUP(K289,'[2]BASE DE PROVEEDORES'!$A:$B,2,0)</f>
        <v>TRANPORTES PESADOS S.A DE C.V.</v>
      </c>
      <c r="M289" s="25">
        <v>0</v>
      </c>
      <c r="N289" s="5" t="s">
        <v>2</v>
      </c>
      <c r="O289" s="5" t="s">
        <v>2</v>
      </c>
      <c r="P289" s="6">
        <v>50.78</v>
      </c>
      <c r="Q289" s="5" t="s">
        <v>2</v>
      </c>
      <c r="R289" s="18" t="s">
        <v>2</v>
      </c>
      <c r="S289" s="18" t="s">
        <v>2</v>
      </c>
      <c r="T289" s="12">
        <v>6.6</v>
      </c>
      <c r="U289" s="13">
        <f t="shared" si="39"/>
        <v>57.38</v>
      </c>
      <c r="V289" s="19" t="s">
        <v>3</v>
      </c>
      <c r="X289" s="3">
        <f t="shared" si="40"/>
        <v>6.6</v>
      </c>
    </row>
    <row r="290" spans="1:24" hidden="1" x14ac:dyDescent="0.25">
      <c r="A290" s="5" t="s">
        <v>243</v>
      </c>
      <c r="B290" s="18" t="s">
        <v>260</v>
      </c>
      <c r="C290" s="20" t="str">
        <f t="shared" si="36"/>
        <v>19</v>
      </c>
      <c r="D290" s="20" t="str">
        <f t="shared" si="37"/>
        <v>05</v>
      </c>
      <c r="E290" s="19" t="s">
        <v>21</v>
      </c>
      <c r="F290" s="19" t="s">
        <v>22</v>
      </c>
      <c r="G290" s="4" t="str">
        <f t="shared" si="38"/>
        <v>19/05/2021</v>
      </c>
      <c r="H290" s="19" t="s">
        <v>1</v>
      </c>
      <c r="I290" s="19" t="s">
        <v>0</v>
      </c>
      <c r="J290" s="5" t="s">
        <v>479</v>
      </c>
      <c r="K290" s="5" t="s">
        <v>192</v>
      </c>
      <c r="L290" s="22" t="str">
        <f>+VLOOKUP(K290,'[2]BASE DE PROVEEDORES'!$A:$B,2,0)</f>
        <v>REPUESTOS NOE S.A DE C.V.</v>
      </c>
      <c r="M290" s="25">
        <v>0</v>
      </c>
      <c r="N290" s="5" t="s">
        <v>2</v>
      </c>
      <c r="O290" s="5" t="s">
        <v>2</v>
      </c>
      <c r="P290" s="6">
        <v>24</v>
      </c>
      <c r="Q290" s="5" t="s">
        <v>2</v>
      </c>
      <c r="R290" s="18" t="s">
        <v>2</v>
      </c>
      <c r="S290" s="18" t="s">
        <v>2</v>
      </c>
      <c r="T290" s="12">
        <v>3.12</v>
      </c>
      <c r="U290" s="13">
        <f t="shared" si="39"/>
        <v>27.12</v>
      </c>
      <c r="V290" s="19" t="s">
        <v>3</v>
      </c>
      <c r="X290" s="3">
        <f t="shared" si="40"/>
        <v>3.12</v>
      </c>
    </row>
    <row r="291" spans="1:24" hidden="1" x14ac:dyDescent="0.25">
      <c r="A291" s="5" t="s">
        <v>243</v>
      </c>
      <c r="B291" s="18" t="s">
        <v>273</v>
      </c>
      <c r="C291" s="20" t="str">
        <f t="shared" ref="C291:C322" si="41">+LEFT(B291,2)</f>
        <v>20</v>
      </c>
      <c r="D291" s="20" t="str">
        <f t="shared" ref="D291:D322" si="42">+RIGHT(B291,2)</f>
        <v>05</v>
      </c>
      <c r="E291" s="19" t="s">
        <v>21</v>
      </c>
      <c r="F291" s="19" t="s">
        <v>22</v>
      </c>
      <c r="G291" s="4" t="str">
        <f t="shared" ref="G291:G322" si="43">+C291&amp;F291&amp;D291&amp;F291&amp;E291</f>
        <v>20/05/2021</v>
      </c>
      <c r="H291" s="19" t="s">
        <v>1</v>
      </c>
      <c r="I291" s="19" t="s">
        <v>0</v>
      </c>
      <c r="J291" s="5" t="s">
        <v>274</v>
      </c>
      <c r="K291" s="5" t="s">
        <v>55</v>
      </c>
      <c r="L291" s="22" t="str">
        <f>+VLOOKUP(K291,'[2]BASE DE PROVEEDORES'!$A:$B,2,0)</f>
        <v xml:space="preserve">DISTRIBUIDORA DE LUBRICANTES Y COMBUSTIBLES S.A DE C.V </v>
      </c>
      <c r="M291" s="25">
        <f>12.39+6.19</f>
        <v>18.580000000000002</v>
      </c>
      <c r="N291" s="5" t="s">
        <v>2</v>
      </c>
      <c r="O291" s="5" t="s">
        <v>2</v>
      </c>
      <c r="P291" s="6">
        <v>143.99</v>
      </c>
      <c r="Q291" s="5" t="s">
        <v>2</v>
      </c>
      <c r="R291" s="18" t="s">
        <v>2</v>
      </c>
      <c r="S291" s="18" t="s">
        <v>2</v>
      </c>
      <c r="T291" s="12">
        <v>18.72</v>
      </c>
      <c r="U291" s="13">
        <f t="shared" ref="U291:U322" si="44">+M291+P291+T291</f>
        <v>181.29000000000002</v>
      </c>
      <c r="V291" s="19" t="s">
        <v>3</v>
      </c>
      <c r="X291" s="3">
        <f t="shared" ref="X291:X322" si="45">+ROUND(T291,2)</f>
        <v>18.72</v>
      </c>
    </row>
    <row r="292" spans="1:24" hidden="1" x14ac:dyDescent="0.25">
      <c r="A292" s="5" t="s">
        <v>243</v>
      </c>
      <c r="B292" s="18" t="s">
        <v>273</v>
      </c>
      <c r="C292" s="20" t="str">
        <f t="shared" si="41"/>
        <v>20</v>
      </c>
      <c r="D292" s="20" t="str">
        <f t="shared" si="42"/>
        <v>05</v>
      </c>
      <c r="E292" s="19" t="s">
        <v>21</v>
      </c>
      <c r="F292" s="19" t="s">
        <v>22</v>
      </c>
      <c r="G292" s="4" t="str">
        <f t="shared" si="43"/>
        <v>20/05/2021</v>
      </c>
      <c r="H292" s="19" t="s">
        <v>1</v>
      </c>
      <c r="I292" s="19" t="s">
        <v>0</v>
      </c>
      <c r="J292" s="5" t="s">
        <v>431</v>
      </c>
      <c r="K292" s="5" t="s">
        <v>432</v>
      </c>
      <c r="L292" s="22" t="str">
        <f>+VLOOKUP(K292,'[2]BASE DE PROVEEDORES'!$A:$B,2,0)</f>
        <v>SERVICIOS PROFESIONALES DE MAQUINARIA</v>
      </c>
      <c r="M292" s="25">
        <v>0</v>
      </c>
      <c r="N292" s="5" t="s">
        <v>2</v>
      </c>
      <c r="O292" s="5" t="s">
        <v>2</v>
      </c>
      <c r="P292" s="6">
        <v>150</v>
      </c>
      <c r="Q292" s="5" t="s">
        <v>2</v>
      </c>
      <c r="R292" s="18" t="s">
        <v>2</v>
      </c>
      <c r="S292" s="18" t="s">
        <v>2</v>
      </c>
      <c r="T292" s="12">
        <v>19.5</v>
      </c>
      <c r="U292" s="13">
        <f t="shared" si="44"/>
        <v>169.5</v>
      </c>
      <c r="V292" s="19" t="s">
        <v>3</v>
      </c>
      <c r="X292" s="3">
        <f t="shared" si="45"/>
        <v>19.5</v>
      </c>
    </row>
    <row r="293" spans="1:24" hidden="1" x14ac:dyDescent="0.25">
      <c r="A293" s="5" t="s">
        <v>243</v>
      </c>
      <c r="B293" s="18" t="s">
        <v>273</v>
      </c>
      <c r="C293" s="20" t="str">
        <f t="shared" si="41"/>
        <v>20</v>
      </c>
      <c r="D293" s="20" t="str">
        <f t="shared" si="42"/>
        <v>05</v>
      </c>
      <c r="E293" s="19" t="s">
        <v>21</v>
      </c>
      <c r="F293" s="19" t="s">
        <v>22</v>
      </c>
      <c r="G293" s="4" t="str">
        <f t="shared" si="43"/>
        <v>20/05/2021</v>
      </c>
      <c r="H293" s="19" t="s">
        <v>1</v>
      </c>
      <c r="I293" s="19" t="s">
        <v>0</v>
      </c>
      <c r="J293" s="5" t="s">
        <v>476</v>
      </c>
      <c r="K293" s="5" t="s">
        <v>164</v>
      </c>
      <c r="L293" s="22" t="str">
        <f>+VLOOKUP(K293,'[2]BASE DE PROVEEDORES'!$A:$B,2,0)</f>
        <v>TRANPORTES PESADOS S.A DE C.V.</v>
      </c>
      <c r="M293" s="25">
        <v>0</v>
      </c>
      <c r="N293" s="5" t="s">
        <v>2</v>
      </c>
      <c r="O293" s="5" t="s">
        <v>2</v>
      </c>
      <c r="P293" s="6">
        <v>52.61</v>
      </c>
      <c r="Q293" s="5" t="s">
        <v>2</v>
      </c>
      <c r="R293" s="18" t="s">
        <v>2</v>
      </c>
      <c r="S293" s="18" t="s">
        <v>2</v>
      </c>
      <c r="T293" s="12">
        <v>6.84</v>
      </c>
      <c r="U293" s="13">
        <f t="shared" si="44"/>
        <v>59.45</v>
      </c>
      <c r="V293" s="19" t="s">
        <v>3</v>
      </c>
      <c r="X293" s="3">
        <f t="shared" si="45"/>
        <v>6.84</v>
      </c>
    </row>
    <row r="294" spans="1:24" hidden="1" x14ac:dyDescent="0.25">
      <c r="A294" s="5" t="s">
        <v>243</v>
      </c>
      <c r="B294" s="18" t="s">
        <v>262</v>
      </c>
      <c r="C294" s="20" t="str">
        <f t="shared" si="41"/>
        <v>21</v>
      </c>
      <c r="D294" s="20" t="str">
        <f t="shared" si="42"/>
        <v>05</v>
      </c>
      <c r="E294" s="19" t="s">
        <v>21</v>
      </c>
      <c r="F294" s="19" t="s">
        <v>22</v>
      </c>
      <c r="G294" s="4" t="str">
        <f t="shared" si="43"/>
        <v>21/05/2021</v>
      </c>
      <c r="H294" s="19" t="s">
        <v>1</v>
      </c>
      <c r="I294" s="19" t="s">
        <v>0</v>
      </c>
      <c r="J294" s="5" t="s">
        <v>263</v>
      </c>
      <c r="K294" s="5" t="s">
        <v>55</v>
      </c>
      <c r="L294" s="22" t="str">
        <f>+VLOOKUP(K294,'[2]BASE DE PROVEEDORES'!$A:$B,2,0)</f>
        <v xml:space="preserve">DISTRIBUIDORA DE LUBRICANTES Y COMBUSTIBLES S.A DE C.V </v>
      </c>
      <c r="M294" s="25">
        <f>2.97+1.48</f>
        <v>4.45</v>
      </c>
      <c r="N294" s="5" t="s">
        <v>2</v>
      </c>
      <c r="O294" s="5" t="s">
        <v>2</v>
      </c>
      <c r="P294" s="6">
        <v>44.73</v>
      </c>
      <c r="Q294" s="5" t="s">
        <v>2</v>
      </c>
      <c r="R294" s="18" t="s">
        <v>2</v>
      </c>
      <c r="S294" s="18" t="s">
        <v>2</v>
      </c>
      <c r="T294" s="12">
        <v>5.81</v>
      </c>
      <c r="U294" s="13">
        <f t="shared" si="44"/>
        <v>54.99</v>
      </c>
      <c r="V294" s="19" t="s">
        <v>3</v>
      </c>
      <c r="X294" s="3">
        <f t="shared" si="45"/>
        <v>5.81</v>
      </c>
    </row>
    <row r="295" spans="1:24" hidden="1" x14ac:dyDescent="0.25">
      <c r="A295" s="5" t="s">
        <v>243</v>
      </c>
      <c r="B295" s="18" t="s">
        <v>262</v>
      </c>
      <c r="C295" s="20" t="str">
        <f t="shared" si="41"/>
        <v>21</v>
      </c>
      <c r="D295" s="20" t="str">
        <f t="shared" si="42"/>
        <v>05</v>
      </c>
      <c r="E295" s="19" t="s">
        <v>21</v>
      </c>
      <c r="F295" s="19" t="s">
        <v>22</v>
      </c>
      <c r="G295" s="4" t="str">
        <f t="shared" si="43"/>
        <v>21/05/2021</v>
      </c>
      <c r="H295" s="19" t="s">
        <v>1</v>
      </c>
      <c r="I295" s="19" t="s">
        <v>0</v>
      </c>
      <c r="J295" s="5" t="s">
        <v>271</v>
      </c>
      <c r="K295" s="5" t="s">
        <v>55</v>
      </c>
      <c r="L295" s="22" t="str">
        <f>+VLOOKUP(K295,'[2]BASE DE PROVEEDORES'!$A:$B,2,0)</f>
        <v xml:space="preserve">DISTRIBUIDORA DE LUBRICANTES Y COMBUSTIBLES S.A DE C.V </v>
      </c>
      <c r="M295" s="25">
        <f>2.85+1.43</f>
        <v>4.28</v>
      </c>
      <c r="N295" s="5" t="s">
        <v>2</v>
      </c>
      <c r="O295" s="5" t="s">
        <v>2</v>
      </c>
      <c r="P295" s="6">
        <v>33.19</v>
      </c>
      <c r="Q295" s="5" t="s">
        <v>2</v>
      </c>
      <c r="R295" s="18" t="s">
        <v>2</v>
      </c>
      <c r="S295" s="18" t="s">
        <v>2</v>
      </c>
      <c r="T295" s="12">
        <v>4.3099999999999996</v>
      </c>
      <c r="U295" s="13">
        <f t="shared" si="44"/>
        <v>41.78</v>
      </c>
      <c r="V295" s="19" t="s">
        <v>3</v>
      </c>
      <c r="X295" s="3">
        <f t="shared" si="45"/>
        <v>4.3099999999999996</v>
      </c>
    </row>
    <row r="296" spans="1:24" hidden="1" x14ac:dyDescent="0.25">
      <c r="A296" s="5" t="s">
        <v>243</v>
      </c>
      <c r="B296" s="18" t="s">
        <v>262</v>
      </c>
      <c r="C296" s="20" t="str">
        <f t="shared" si="41"/>
        <v>21</v>
      </c>
      <c r="D296" s="20" t="str">
        <f t="shared" si="42"/>
        <v>05</v>
      </c>
      <c r="E296" s="19" t="s">
        <v>21</v>
      </c>
      <c r="F296" s="19" t="s">
        <v>22</v>
      </c>
      <c r="G296" s="4" t="str">
        <f t="shared" si="43"/>
        <v>21/05/2021</v>
      </c>
      <c r="H296" s="19" t="s">
        <v>1</v>
      </c>
      <c r="I296" s="19" t="s">
        <v>0</v>
      </c>
      <c r="J296" s="5" t="s">
        <v>464</v>
      </c>
      <c r="K296" s="5" t="s">
        <v>146</v>
      </c>
      <c r="L296" s="22" t="str">
        <f>+VLOOKUP(K296,'[2]BASE DE PROVEEDORES'!$A:$B,2,0)</f>
        <v>FREUND S.A DE C.V.</v>
      </c>
      <c r="M296" s="25">
        <v>0</v>
      </c>
      <c r="N296" s="5" t="s">
        <v>2</v>
      </c>
      <c r="O296" s="5" t="s">
        <v>2</v>
      </c>
      <c r="P296" s="6">
        <v>17.04</v>
      </c>
      <c r="Q296" s="5" t="s">
        <v>2</v>
      </c>
      <c r="R296" s="18" t="s">
        <v>2</v>
      </c>
      <c r="S296" s="18" t="s">
        <v>2</v>
      </c>
      <c r="T296" s="12">
        <v>2.2200000000000002</v>
      </c>
      <c r="U296" s="13">
        <f t="shared" si="44"/>
        <v>19.259999999999998</v>
      </c>
      <c r="V296" s="19" t="s">
        <v>3</v>
      </c>
      <c r="X296" s="3">
        <f t="shared" si="45"/>
        <v>2.2200000000000002</v>
      </c>
    </row>
    <row r="297" spans="1:24" hidden="1" x14ac:dyDescent="0.25">
      <c r="A297" s="5" t="s">
        <v>243</v>
      </c>
      <c r="B297" s="18" t="s">
        <v>262</v>
      </c>
      <c r="C297" s="20" t="str">
        <f t="shared" si="41"/>
        <v>21</v>
      </c>
      <c r="D297" s="20" t="str">
        <f t="shared" si="42"/>
        <v>05</v>
      </c>
      <c r="E297" s="19" t="s">
        <v>21</v>
      </c>
      <c r="F297" s="19" t="s">
        <v>22</v>
      </c>
      <c r="G297" s="4" t="str">
        <f t="shared" si="43"/>
        <v>21/05/2021</v>
      </c>
      <c r="H297" s="19" t="s">
        <v>1</v>
      </c>
      <c r="I297" s="19" t="s">
        <v>0</v>
      </c>
      <c r="J297" s="5" t="s">
        <v>465</v>
      </c>
      <c r="K297" s="5" t="s">
        <v>228</v>
      </c>
      <c r="L297" s="22" t="str">
        <f>+VLOOKUP(K297,'[2]BASE DE PROVEEDORES'!$A:$B,2,0)</f>
        <v>SO S.A DE C.V.</v>
      </c>
      <c r="M297" s="25">
        <v>0</v>
      </c>
      <c r="N297" s="5" t="s">
        <v>2</v>
      </c>
      <c r="O297" s="5" t="s">
        <v>2</v>
      </c>
      <c r="P297" s="6">
        <v>34.619999999999997</v>
      </c>
      <c r="Q297" s="5" t="s">
        <v>2</v>
      </c>
      <c r="R297" s="18" t="s">
        <v>2</v>
      </c>
      <c r="S297" s="18" t="s">
        <v>2</v>
      </c>
      <c r="T297" s="12">
        <v>4.5</v>
      </c>
      <c r="U297" s="13">
        <f t="shared" si="44"/>
        <v>39.119999999999997</v>
      </c>
      <c r="V297" s="19" t="s">
        <v>3</v>
      </c>
      <c r="X297" s="3">
        <f t="shared" si="45"/>
        <v>4.5</v>
      </c>
    </row>
    <row r="298" spans="1:24" hidden="1" x14ac:dyDescent="0.25">
      <c r="A298" s="5" t="s">
        <v>243</v>
      </c>
      <c r="B298" s="18" t="s">
        <v>262</v>
      </c>
      <c r="C298" s="20" t="str">
        <f t="shared" si="41"/>
        <v>21</v>
      </c>
      <c r="D298" s="20" t="str">
        <f t="shared" si="42"/>
        <v>05</v>
      </c>
      <c r="E298" s="19" t="s">
        <v>21</v>
      </c>
      <c r="F298" s="19" t="s">
        <v>22</v>
      </c>
      <c r="G298" s="4" t="str">
        <f t="shared" si="43"/>
        <v>21/05/2021</v>
      </c>
      <c r="H298" s="19" t="s">
        <v>1</v>
      </c>
      <c r="I298" s="19" t="s">
        <v>0</v>
      </c>
      <c r="J298" s="5" t="s">
        <v>480</v>
      </c>
      <c r="K298" s="5" t="s">
        <v>192</v>
      </c>
      <c r="L298" s="22" t="str">
        <f>+VLOOKUP(K298,'[2]BASE DE PROVEEDORES'!$A:$B,2,0)</f>
        <v>REPUESTOS NOE S.A DE C.V.</v>
      </c>
      <c r="M298" s="25">
        <v>0</v>
      </c>
      <c r="N298" s="5" t="s">
        <v>2</v>
      </c>
      <c r="O298" s="5" t="s">
        <v>2</v>
      </c>
      <c r="P298" s="6">
        <v>55.25</v>
      </c>
      <c r="Q298" s="5" t="s">
        <v>2</v>
      </c>
      <c r="R298" s="18" t="s">
        <v>2</v>
      </c>
      <c r="S298" s="18" t="s">
        <v>2</v>
      </c>
      <c r="T298" s="12">
        <v>7.18</v>
      </c>
      <c r="U298" s="13">
        <f t="shared" si="44"/>
        <v>62.43</v>
      </c>
      <c r="V298" s="19" t="s">
        <v>3</v>
      </c>
      <c r="X298" s="3">
        <f t="shared" si="45"/>
        <v>7.18</v>
      </c>
    </row>
    <row r="299" spans="1:24" hidden="1" x14ac:dyDescent="0.25">
      <c r="A299" s="5" t="s">
        <v>243</v>
      </c>
      <c r="B299" s="18" t="s">
        <v>255</v>
      </c>
      <c r="C299" s="20" t="str">
        <f t="shared" si="41"/>
        <v>22</v>
      </c>
      <c r="D299" s="20" t="str">
        <f t="shared" si="42"/>
        <v>05</v>
      </c>
      <c r="E299" s="19" t="s">
        <v>21</v>
      </c>
      <c r="F299" s="19" t="s">
        <v>22</v>
      </c>
      <c r="G299" s="4" t="str">
        <f t="shared" si="43"/>
        <v>22/05/2021</v>
      </c>
      <c r="H299" s="19" t="s">
        <v>1</v>
      </c>
      <c r="I299" s="19" t="s">
        <v>0</v>
      </c>
      <c r="J299" s="5" t="s">
        <v>256</v>
      </c>
      <c r="K299" s="5" t="s">
        <v>55</v>
      </c>
      <c r="L299" s="22" t="str">
        <f>+VLOOKUP(K299,'[2]BASE DE PROVEEDORES'!$A:$B,2,0)</f>
        <v xml:space="preserve">DISTRIBUIDORA DE LUBRICANTES Y COMBUSTIBLES S.A DE C.V </v>
      </c>
      <c r="M299" s="25">
        <f>5.66+2.84</f>
        <v>8.5</v>
      </c>
      <c r="N299" s="5" t="s">
        <v>2</v>
      </c>
      <c r="O299" s="5" t="s">
        <v>2</v>
      </c>
      <c r="P299" s="6">
        <v>65.790000000000006</v>
      </c>
      <c r="Q299" s="5" t="s">
        <v>2</v>
      </c>
      <c r="R299" s="18" t="s">
        <v>2</v>
      </c>
      <c r="S299" s="18" t="s">
        <v>2</v>
      </c>
      <c r="T299" s="12">
        <v>8.5500000000000007</v>
      </c>
      <c r="U299" s="13">
        <f t="shared" si="44"/>
        <v>82.84</v>
      </c>
      <c r="V299" s="19" t="s">
        <v>3</v>
      </c>
      <c r="X299" s="3">
        <f t="shared" si="45"/>
        <v>8.5500000000000007</v>
      </c>
    </row>
    <row r="300" spans="1:24" hidden="1" x14ac:dyDescent="0.25">
      <c r="A300" s="5" t="s">
        <v>243</v>
      </c>
      <c r="B300" s="18" t="s">
        <v>255</v>
      </c>
      <c r="C300" s="20" t="str">
        <f t="shared" si="41"/>
        <v>22</v>
      </c>
      <c r="D300" s="20" t="str">
        <f t="shared" si="42"/>
        <v>05</v>
      </c>
      <c r="E300" s="19" t="s">
        <v>21</v>
      </c>
      <c r="F300" s="19" t="s">
        <v>22</v>
      </c>
      <c r="G300" s="4" t="str">
        <f t="shared" si="43"/>
        <v>22/05/2021</v>
      </c>
      <c r="H300" s="19" t="s">
        <v>1</v>
      </c>
      <c r="I300" s="19" t="s">
        <v>0</v>
      </c>
      <c r="J300" s="5" t="s">
        <v>272</v>
      </c>
      <c r="K300" s="5" t="s">
        <v>55</v>
      </c>
      <c r="L300" s="22" t="str">
        <f>+VLOOKUP(K300,'[2]BASE DE PROVEEDORES'!$A:$B,2,0)</f>
        <v xml:space="preserve">DISTRIBUIDORA DE LUBRICANTES Y COMBUSTIBLES S.A DE C.V </v>
      </c>
      <c r="M300" s="25">
        <f>5.61+2.8</f>
        <v>8.41</v>
      </c>
      <c r="N300" s="5" t="s">
        <v>2</v>
      </c>
      <c r="O300" s="5" t="s">
        <v>2</v>
      </c>
      <c r="P300" s="6">
        <v>69.989999999999995</v>
      </c>
      <c r="Q300" s="5" t="s">
        <v>2</v>
      </c>
      <c r="R300" s="18" t="s">
        <v>2</v>
      </c>
      <c r="S300" s="18" t="s">
        <v>2</v>
      </c>
      <c r="T300" s="12">
        <v>9.1</v>
      </c>
      <c r="U300" s="13">
        <f t="shared" si="44"/>
        <v>87.499999999999986</v>
      </c>
      <c r="V300" s="19" t="s">
        <v>3</v>
      </c>
      <c r="X300" s="3">
        <f t="shared" si="45"/>
        <v>9.1</v>
      </c>
    </row>
    <row r="301" spans="1:24" hidden="1" x14ac:dyDescent="0.25">
      <c r="A301" s="5" t="s">
        <v>243</v>
      </c>
      <c r="B301" s="18" t="s">
        <v>255</v>
      </c>
      <c r="C301" s="20" t="str">
        <f t="shared" si="41"/>
        <v>22</v>
      </c>
      <c r="D301" s="20" t="str">
        <f t="shared" si="42"/>
        <v>05</v>
      </c>
      <c r="E301" s="19" t="s">
        <v>21</v>
      </c>
      <c r="F301" s="19" t="s">
        <v>22</v>
      </c>
      <c r="G301" s="4" t="str">
        <f t="shared" si="43"/>
        <v>22/05/2021</v>
      </c>
      <c r="H301" s="19" t="s">
        <v>1</v>
      </c>
      <c r="I301" s="19" t="s">
        <v>0</v>
      </c>
      <c r="J301" s="5" t="s">
        <v>469</v>
      </c>
      <c r="K301" s="5" t="s">
        <v>149</v>
      </c>
      <c r="L301" s="22" t="str">
        <f>+VLOOKUP(K301,'[2]BASE DE PROVEEDORES'!$A:$B,2,0)</f>
        <v>ALMACENES VIDRI, S.A DE C.V.</v>
      </c>
      <c r="M301" s="25">
        <v>0</v>
      </c>
      <c r="N301" s="5" t="s">
        <v>2</v>
      </c>
      <c r="O301" s="5" t="s">
        <v>2</v>
      </c>
      <c r="P301" s="6">
        <v>28.72</v>
      </c>
      <c r="Q301" s="5" t="s">
        <v>2</v>
      </c>
      <c r="R301" s="18" t="s">
        <v>2</v>
      </c>
      <c r="S301" s="18" t="s">
        <v>2</v>
      </c>
      <c r="T301" s="12">
        <v>3.73</v>
      </c>
      <c r="U301" s="13">
        <f t="shared" si="44"/>
        <v>32.449999999999996</v>
      </c>
      <c r="V301" s="19" t="s">
        <v>3</v>
      </c>
      <c r="X301" s="3">
        <f t="shared" si="45"/>
        <v>3.73</v>
      </c>
    </row>
    <row r="302" spans="1:24" hidden="1" x14ac:dyDescent="0.25">
      <c r="A302" s="5" t="s">
        <v>243</v>
      </c>
      <c r="B302" s="18" t="s">
        <v>297</v>
      </c>
      <c r="C302" s="20" t="str">
        <f t="shared" si="41"/>
        <v>23</v>
      </c>
      <c r="D302" s="20" t="str">
        <f t="shared" si="42"/>
        <v>05</v>
      </c>
      <c r="E302" s="19" t="s">
        <v>21</v>
      </c>
      <c r="F302" s="19" t="s">
        <v>22</v>
      </c>
      <c r="G302" s="4" t="str">
        <f t="shared" si="43"/>
        <v>23/05/2021</v>
      </c>
      <c r="H302" s="19" t="s">
        <v>1</v>
      </c>
      <c r="I302" s="19" t="s">
        <v>0</v>
      </c>
      <c r="J302" s="5" t="s">
        <v>298</v>
      </c>
      <c r="K302" s="5" t="s">
        <v>55</v>
      </c>
      <c r="L302" s="22" t="str">
        <f>+VLOOKUP(K302,'[2]BASE DE PROVEEDORES'!$A:$B,2,0)</f>
        <v xml:space="preserve">DISTRIBUIDORA DE LUBRICANTES Y COMBUSTIBLES S.A DE C.V </v>
      </c>
      <c r="M302" s="25">
        <f>1.31+0.65</f>
        <v>1.96</v>
      </c>
      <c r="N302" s="5" t="s">
        <v>2</v>
      </c>
      <c r="O302" s="5" t="s">
        <v>2</v>
      </c>
      <c r="P302" s="6">
        <v>19.260000000000002</v>
      </c>
      <c r="Q302" s="5" t="s">
        <v>2</v>
      </c>
      <c r="R302" s="18" t="s">
        <v>2</v>
      </c>
      <c r="S302" s="18" t="s">
        <v>2</v>
      </c>
      <c r="T302" s="12">
        <v>2.5</v>
      </c>
      <c r="U302" s="13">
        <f t="shared" si="44"/>
        <v>23.720000000000002</v>
      </c>
      <c r="V302" s="19" t="s">
        <v>3</v>
      </c>
      <c r="X302" s="3">
        <f t="shared" si="45"/>
        <v>2.5</v>
      </c>
    </row>
    <row r="303" spans="1:24" hidden="1" x14ac:dyDescent="0.25">
      <c r="A303" s="5" t="s">
        <v>243</v>
      </c>
      <c r="B303" s="18" t="s">
        <v>264</v>
      </c>
      <c r="C303" s="20" t="str">
        <f t="shared" si="41"/>
        <v>24</v>
      </c>
      <c r="D303" s="20" t="str">
        <f t="shared" si="42"/>
        <v>05</v>
      </c>
      <c r="E303" s="19" t="s">
        <v>21</v>
      </c>
      <c r="F303" s="19" t="s">
        <v>22</v>
      </c>
      <c r="G303" s="4" t="str">
        <f t="shared" si="43"/>
        <v>24/05/2021</v>
      </c>
      <c r="H303" s="19" t="s">
        <v>1</v>
      </c>
      <c r="I303" s="19" t="s">
        <v>0</v>
      </c>
      <c r="J303" s="5" t="s">
        <v>265</v>
      </c>
      <c r="K303" s="5" t="s">
        <v>55</v>
      </c>
      <c r="L303" s="22" t="str">
        <f>+VLOOKUP(K303,'[2]BASE DE PROVEEDORES'!$A:$B,2,0)</f>
        <v xml:space="preserve">DISTRIBUIDORA DE LUBRICANTES Y COMBUSTIBLES S.A DE C.V </v>
      </c>
      <c r="M303" s="25">
        <v>15</v>
      </c>
      <c r="N303" s="5" t="s">
        <v>2</v>
      </c>
      <c r="O303" s="5" t="s">
        <v>2</v>
      </c>
      <c r="P303" s="6">
        <v>116.14</v>
      </c>
      <c r="Q303" s="5" t="s">
        <v>2</v>
      </c>
      <c r="R303" s="18" t="s">
        <v>2</v>
      </c>
      <c r="S303" s="18" t="s">
        <v>2</v>
      </c>
      <c r="T303" s="12">
        <v>15.1</v>
      </c>
      <c r="U303" s="13">
        <f t="shared" si="44"/>
        <v>146.23999999999998</v>
      </c>
      <c r="V303" s="19" t="s">
        <v>3</v>
      </c>
      <c r="X303" s="3">
        <f t="shared" si="45"/>
        <v>15.1</v>
      </c>
    </row>
    <row r="304" spans="1:24" hidden="1" x14ac:dyDescent="0.25">
      <c r="A304" s="5" t="s">
        <v>243</v>
      </c>
      <c r="B304" s="18" t="s">
        <v>264</v>
      </c>
      <c r="C304" s="20" t="str">
        <f t="shared" si="41"/>
        <v>24</v>
      </c>
      <c r="D304" s="20" t="str">
        <f t="shared" si="42"/>
        <v>05</v>
      </c>
      <c r="E304" s="19" t="s">
        <v>21</v>
      </c>
      <c r="F304" s="19" t="s">
        <v>22</v>
      </c>
      <c r="G304" s="4" t="str">
        <f t="shared" si="43"/>
        <v>24/05/2021</v>
      </c>
      <c r="H304" s="19" t="s">
        <v>1</v>
      </c>
      <c r="I304" s="19" t="s">
        <v>0</v>
      </c>
      <c r="J304" s="5" t="s">
        <v>430</v>
      </c>
      <c r="K304" s="5" t="s">
        <v>218</v>
      </c>
      <c r="L304" s="22" t="str">
        <f>+VLOOKUP(K304,'[2]BASE DE PROVEEDORES'!$A:$B,2,0)</f>
        <v>IMPRESSA S.A DE C.V.</v>
      </c>
      <c r="M304" s="25">
        <v>0</v>
      </c>
      <c r="N304" s="5" t="s">
        <v>2</v>
      </c>
      <c r="O304" s="5" t="s">
        <v>2</v>
      </c>
      <c r="P304" s="6">
        <v>54</v>
      </c>
      <c r="Q304" s="5" t="s">
        <v>2</v>
      </c>
      <c r="R304" s="18" t="s">
        <v>2</v>
      </c>
      <c r="S304" s="18" t="s">
        <v>2</v>
      </c>
      <c r="T304" s="12">
        <v>7.02</v>
      </c>
      <c r="U304" s="13">
        <f t="shared" si="44"/>
        <v>61.019999999999996</v>
      </c>
      <c r="V304" s="19" t="s">
        <v>3</v>
      </c>
      <c r="X304" s="3">
        <f t="shared" si="45"/>
        <v>7.02</v>
      </c>
    </row>
    <row r="305" spans="1:24" hidden="1" x14ac:dyDescent="0.25">
      <c r="A305" s="5" t="s">
        <v>243</v>
      </c>
      <c r="B305" s="18" t="s">
        <v>266</v>
      </c>
      <c r="C305" s="20" t="str">
        <f t="shared" si="41"/>
        <v>25</v>
      </c>
      <c r="D305" s="20" t="str">
        <f t="shared" si="42"/>
        <v>05</v>
      </c>
      <c r="E305" s="19" t="s">
        <v>21</v>
      </c>
      <c r="F305" s="19" t="s">
        <v>22</v>
      </c>
      <c r="G305" s="4" t="str">
        <f t="shared" si="43"/>
        <v>25/05/2021</v>
      </c>
      <c r="H305" s="19" t="s">
        <v>1</v>
      </c>
      <c r="I305" s="19" t="s">
        <v>0</v>
      </c>
      <c r="J305" s="5" t="s">
        <v>267</v>
      </c>
      <c r="K305" s="5" t="s">
        <v>55</v>
      </c>
      <c r="L305" s="22" t="str">
        <f>+VLOOKUP(K305,'[2]BASE DE PROVEEDORES'!$A:$B,2,0)</f>
        <v xml:space="preserve">DISTRIBUIDORA DE LUBRICANTES Y COMBUSTIBLES S.A DE C.V </v>
      </c>
      <c r="M305" s="25">
        <f>13.31+6.65</f>
        <v>19.96</v>
      </c>
      <c r="N305" s="5" t="s">
        <v>2</v>
      </c>
      <c r="O305" s="5" t="s">
        <v>2</v>
      </c>
      <c r="P305" s="6">
        <v>154.59</v>
      </c>
      <c r="Q305" s="5" t="s">
        <v>2</v>
      </c>
      <c r="R305" s="18" t="s">
        <v>2</v>
      </c>
      <c r="S305" s="18" t="s">
        <v>2</v>
      </c>
      <c r="T305" s="12">
        <v>20.100000000000001</v>
      </c>
      <c r="U305" s="13">
        <f t="shared" si="44"/>
        <v>194.65</v>
      </c>
      <c r="V305" s="19" t="s">
        <v>3</v>
      </c>
      <c r="X305" s="3">
        <f t="shared" si="45"/>
        <v>20.100000000000001</v>
      </c>
    </row>
    <row r="306" spans="1:24" hidden="1" x14ac:dyDescent="0.25">
      <c r="A306" s="5" t="s">
        <v>243</v>
      </c>
      <c r="B306" s="18" t="s">
        <v>266</v>
      </c>
      <c r="C306" s="20" t="str">
        <f t="shared" si="41"/>
        <v>25</v>
      </c>
      <c r="D306" s="20" t="str">
        <f t="shared" si="42"/>
        <v>05</v>
      </c>
      <c r="E306" s="19" t="s">
        <v>21</v>
      </c>
      <c r="F306" s="19" t="s">
        <v>22</v>
      </c>
      <c r="G306" s="4" t="str">
        <f t="shared" si="43"/>
        <v>25/05/2021</v>
      </c>
      <c r="H306" s="19" t="s">
        <v>1</v>
      </c>
      <c r="I306" s="19" t="s">
        <v>0</v>
      </c>
      <c r="J306" s="5" t="s">
        <v>268</v>
      </c>
      <c r="K306" s="5" t="s">
        <v>55</v>
      </c>
      <c r="L306" s="22" t="str">
        <f>+VLOOKUP(K306,'[2]BASE DE PROVEEDORES'!$A:$B,2,0)</f>
        <v xml:space="preserve">DISTRIBUIDORA DE LUBRICANTES Y COMBUSTIBLES S.A DE C.V </v>
      </c>
      <c r="M306" s="25">
        <f>19.81+9.9</f>
        <v>29.71</v>
      </c>
      <c r="N306" s="5" t="s">
        <v>2</v>
      </c>
      <c r="O306" s="5" t="s">
        <v>2</v>
      </c>
      <c r="P306" s="6">
        <v>230.18</v>
      </c>
      <c r="Q306" s="5" t="s">
        <v>2</v>
      </c>
      <c r="R306" s="18" t="s">
        <v>2</v>
      </c>
      <c r="S306" s="18" t="s">
        <v>2</v>
      </c>
      <c r="T306" s="12">
        <v>29.92</v>
      </c>
      <c r="U306" s="13">
        <f t="shared" si="44"/>
        <v>289.81</v>
      </c>
      <c r="V306" s="19" t="s">
        <v>3</v>
      </c>
      <c r="X306" s="3">
        <f t="shared" si="45"/>
        <v>29.92</v>
      </c>
    </row>
    <row r="307" spans="1:24" hidden="1" x14ac:dyDescent="0.25">
      <c r="A307" s="5" t="s">
        <v>243</v>
      </c>
      <c r="B307" s="18" t="s">
        <v>266</v>
      </c>
      <c r="C307" s="20" t="str">
        <f t="shared" si="41"/>
        <v>25</v>
      </c>
      <c r="D307" s="20" t="str">
        <f t="shared" si="42"/>
        <v>05</v>
      </c>
      <c r="E307" s="19" t="s">
        <v>21</v>
      </c>
      <c r="F307" s="19" t="s">
        <v>22</v>
      </c>
      <c r="G307" s="4" t="str">
        <f t="shared" si="43"/>
        <v>25/05/2021</v>
      </c>
      <c r="H307" s="19" t="s">
        <v>1</v>
      </c>
      <c r="I307" s="19" t="s">
        <v>0</v>
      </c>
      <c r="J307" s="5" t="s">
        <v>29</v>
      </c>
      <c r="K307" s="5" t="s">
        <v>478</v>
      </c>
      <c r="L307" s="22" t="str">
        <f>+VLOOKUP(K307,'[2]BASE DE PROVEEDORES'!$A:$B,2,0)</f>
        <v>OSCAR ALEJANDRO ALVARENGA BONILLA</v>
      </c>
      <c r="M307" s="25">
        <v>0</v>
      </c>
      <c r="N307" s="5" t="s">
        <v>2</v>
      </c>
      <c r="O307" s="5" t="s">
        <v>2</v>
      </c>
      <c r="P307" s="6">
        <v>6007.83</v>
      </c>
      <c r="Q307" s="5" t="s">
        <v>2</v>
      </c>
      <c r="R307" s="18" t="s">
        <v>2</v>
      </c>
      <c r="S307" s="18" t="s">
        <v>2</v>
      </c>
      <c r="T307" s="12">
        <v>781.02</v>
      </c>
      <c r="U307" s="13">
        <f t="shared" si="44"/>
        <v>6788.85</v>
      </c>
      <c r="V307" s="19" t="s">
        <v>3</v>
      </c>
      <c r="X307" s="3">
        <f t="shared" si="45"/>
        <v>781.02</v>
      </c>
    </row>
    <row r="308" spans="1:24" hidden="1" x14ac:dyDescent="0.25">
      <c r="A308" s="5" t="s">
        <v>243</v>
      </c>
      <c r="B308" s="18" t="s">
        <v>258</v>
      </c>
      <c r="C308" s="20" t="str">
        <f t="shared" si="41"/>
        <v>26</v>
      </c>
      <c r="D308" s="20" t="str">
        <f t="shared" si="42"/>
        <v>05</v>
      </c>
      <c r="E308" s="19" t="s">
        <v>21</v>
      </c>
      <c r="F308" s="19" t="s">
        <v>22</v>
      </c>
      <c r="G308" s="4" t="str">
        <f t="shared" si="43"/>
        <v>26/05/2021</v>
      </c>
      <c r="H308" s="19" t="s">
        <v>1</v>
      </c>
      <c r="I308" s="19" t="s">
        <v>0</v>
      </c>
      <c r="J308" s="5" t="s">
        <v>259</v>
      </c>
      <c r="K308" s="5" t="s">
        <v>55</v>
      </c>
      <c r="L308" s="22" t="str">
        <f>+VLOOKUP(K308,'[2]BASE DE PROVEEDORES'!$A:$B,2,0)</f>
        <v xml:space="preserve">DISTRIBUIDORA DE LUBRICANTES Y COMBUSTIBLES S.A DE C.V </v>
      </c>
      <c r="M308" s="25">
        <f>2.7+1.35</f>
        <v>4.0500000000000007</v>
      </c>
      <c r="N308" s="5" t="s">
        <v>2</v>
      </c>
      <c r="O308" s="5" t="s">
        <v>2</v>
      </c>
      <c r="P308" s="6">
        <v>40.659999999999997</v>
      </c>
      <c r="Q308" s="5" t="s">
        <v>2</v>
      </c>
      <c r="R308" s="18" t="s">
        <v>2</v>
      </c>
      <c r="S308" s="18" t="s">
        <v>2</v>
      </c>
      <c r="T308" s="12">
        <v>5.29</v>
      </c>
      <c r="U308" s="13">
        <f t="shared" si="44"/>
        <v>49.999999999999993</v>
      </c>
      <c r="V308" s="19" t="s">
        <v>3</v>
      </c>
      <c r="X308" s="3">
        <f t="shared" si="45"/>
        <v>5.29</v>
      </c>
    </row>
    <row r="309" spans="1:24" hidden="1" x14ac:dyDescent="0.25">
      <c r="A309" s="5" t="s">
        <v>243</v>
      </c>
      <c r="B309" s="18" t="s">
        <v>258</v>
      </c>
      <c r="C309" s="20" t="str">
        <f t="shared" si="41"/>
        <v>26</v>
      </c>
      <c r="D309" s="20" t="str">
        <f t="shared" si="42"/>
        <v>05</v>
      </c>
      <c r="E309" s="19" t="s">
        <v>21</v>
      </c>
      <c r="F309" s="19" t="s">
        <v>22</v>
      </c>
      <c r="G309" s="4" t="str">
        <f t="shared" si="43"/>
        <v>26/05/2021</v>
      </c>
      <c r="H309" s="19" t="s">
        <v>1</v>
      </c>
      <c r="I309" s="19" t="s">
        <v>0</v>
      </c>
      <c r="J309" s="5" t="s">
        <v>423</v>
      </c>
      <c r="K309" s="5" t="s">
        <v>164</v>
      </c>
      <c r="L309" s="22" t="str">
        <f>+VLOOKUP(K309,'[2]BASE DE PROVEEDORES'!$A:$B,2,0)</f>
        <v>TRANPORTES PESADOS S.A DE C.V.</v>
      </c>
      <c r="M309" s="25">
        <v>0</v>
      </c>
      <c r="N309" s="5" t="s">
        <v>2</v>
      </c>
      <c r="O309" s="5" t="s">
        <v>2</v>
      </c>
      <c r="P309" s="6">
        <v>19.43</v>
      </c>
      <c r="Q309" s="5" t="s">
        <v>2</v>
      </c>
      <c r="R309" s="18" t="s">
        <v>2</v>
      </c>
      <c r="S309" s="18" t="s">
        <v>2</v>
      </c>
      <c r="T309" s="12">
        <v>2.5299999999999998</v>
      </c>
      <c r="U309" s="13">
        <f t="shared" si="44"/>
        <v>21.96</v>
      </c>
      <c r="V309" s="19" t="s">
        <v>3</v>
      </c>
      <c r="X309" s="3">
        <f t="shared" si="45"/>
        <v>2.5299999999999998</v>
      </c>
    </row>
    <row r="310" spans="1:24" hidden="1" x14ac:dyDescent="0.25">
      <c r="A310" s="5" t="s">
        <v>243</v>
      </c>
      <c r="B310" s="18" t="s">
        <v>269</v>
      </c>
      <c r="C310" s="20" t="str">
        <f t="shared" si="41"/>
        <v>27</v>
      </c>
      <c r="D310" s="20" t="str">
        <f t="shared" si="42"/>
        <v>05</v>
      </c>
      <c r="E310" s="19" t="s">
        <v>21</v>
      </c>
      <c r="F310" s="19" t="s">
        <v>22</v>
      </c>
      <c r="G310" s="4" t="str">
        <f t="shared" si="43"/>
        <v>27/05/2021</v>
      </c>
      <c r="H310" s="19" t="s">
        <v>1</v>
      </c>
      <c r="I310" s="19" t="s">
        <v>0</v>
      </c>
      <c r="J310" s="5" t="s">
        <v>270</v>
      </c>
      <c r="K310" s="5" t="s">
        <v>55</v>
      </c>
      <c r="L310" s="22" t="str">
        <f>+VLOOKUP(K310,'[2]BASE DE PROVEEDORES'!$A:$B,2,0)</f>
        <v xml:space="preserve">DISTRIBUIDORA DE LUBRICANTES Y COMBUSTIBLES S.A DE C.V </v>
      </c>
      <c r="M310" s="25">
        <f>11.4+5.7</f>
        <v>17.100000000000001</v>
      </c>
      <c r="N310" s="5" t="s">
        <v>2</v>
      </c>
      <c r="O310" s="5" t="s">
        <v>2</v>
      </c>
      <c r="P310" s="6">
        <v>132.47</v>
      </c>
      <c r="Q310" s="5" t="s">
        <v>2</v>
      </c>
      <c r="R310" s="18" t="s">
        <v>2</v>
      </c>
      <c r="S310" s="18" t="s">
        <v>2</v>
      </c>
      <c r="T310" s="12">
        <v>17.22</v>
      </c>
      <c r="U310" s="13">
        <f t="shared" si="44"/>
        <v>166.79</v>
      </c>
      <c r="V310" s="19" t="s">
        <v>3</v>
      </c>
      <c r="X310" s="3">
        <f t="shared" si="45"/>
        <v>17.22</v>
      </c>
    </row>
    <row r="311" spans="1:24" hidden="1" x14ac:dyDescent="0.25">
      <c r="A311" s="5" t="s">
        <v>243</v>
      </c>
      <c r="B311" s="18" t="s">
        <v>269</v>
      </c>
      <c r="C311" s="20" t="str">
        <f t="shared" si="41"/>
        <v>27</v>
      </c>
      <c r="D311" s="20" t="str">
        <f t="shared" si="42"/>
        <v>05</v>
      </c>
      <c r="E311" s="19" t="s">
        <v>21</v>
      </c>
      <c r="F311" s="19" t="s">
        <v>22</v>
      </c>
      <c r="G311" s="4" t="str">
        <f t="shared" si="43"/>
        <v>27/05/2021</v>
      </c>
      <c r="H311" s="19" t="s">
        <v>1</v>
      </c>
      <c r="I311" s="19" t="s">
        <v>0</v>
      </c>
      <c r="J311" s="5" t="s">
        <v>409</v>
      </c>
      <c r="K311" s="5" t="s">
        <v>42</v>
      </c>
      <c r="L311" s="22" t="str">
        <f>+VLOOKUP(K311,'[2]BASE DE PROVEEDORES'!$A:$B,2,0)</f>
        <v>ECSA OPERADORA EL SALVADOR S.A DE C.V.</v>
      </c>
      <c r="M311" s="25">
        <v>4.1399999999999997</v>
      </c>
      <c r="N311" s="5" t="s">
        <v>2</v>
      </c>
      <c r="O311" s="5" t="s">
        <v>2</v>
      </c>
      <c r="P311" s="6">
        <v>32.46</v>
      </c>
      <c r="Q311" s="5" t="s">
        <v>2</v>
      </c>
      <c r="R311" s="18" t="s">
        <v>2</v>
      </c>
      <c r="S311" s="18" t="s">
        <v>2</v>
      </c>
      <c r="T311" s="12">
        <v>4.22</v>
      </c>
      <c r="U311" s="13">
        <f t="shared" si="44"/>
        <v>40.82</v>
      </c>
      <c r="V311" s="19" t="s">
        <v>3</v>
      </c>
      <c r="X311" s="3">
        <f t="shared" si="45"/>
        <v>4.22</v>
      </c>
    </row>
    <row r="312" spans="1:24" hidden="1" x14ac:dyDescent="0.25">
      <c r="A312" s="5" t="s">
        <v>243</v>
      </c>
      <c r="B312" s="18" t="s">
        <v>269</v>
      </c>
      <c r="C312" s="20" t="str">
        <f t="shared" si="41"/>
        <v>27</v>
      </c>
      <c r="D312" s="20" t="str">
        <f t="shared" si="42"/>
        <v>05</v>
      </c>
      <c r="E312" s="19" t="s">
        <v>21</v>
      </c>
      <c r="F312" s="19" t="s">
        <v>22</v>
      </c>
      <c r="G312" s="4" t="str">
        <f t="shared" si="43"/>
        <v>27/05/2021</v>
      </c>
      <c r="H312" s="19" t="s">
        <v>1</v>
      </c>
      <c r="I312" s="19" t="s">
        <v>0</v>
      </c>
      <c r="J312" s="5" t="s">
        <v>415</v>
      </c>
      <c r="K312" s="5" t="s">
        <v>42</v>
      </c>
      <c r="L312" s="22" t="str">
        <f>+VLOOKUP(K312,'[2]BASE DE PROVEEDORES'!$A:$B,2,0)</f>
        <v>ECSA OPERADORA EL SALVADOR S.A DE C.V.</v>
      </c>
      <c r="M312" s="25">
        <v>5.07</v>
      </c>
      <c r="N312" s="5" t="s">
        <v>2</v>
      </c>
      <c r="O312" s="5" t="s">
        <v>2</v>
      </c>
      <c r="P312" s="6">
        <v>39.76</v>
      </c>
      <c r="Q312" s="5" t="s">
        <v>2</v>
      </c>
      <c r="R312" s="18" t="s">
        <v>2</v>
      </c>
      <c r="S312" s="18" t="s">
        <v>2</v>
      </c>
      <c r="T312" s="12">
        <v>5.17</v>
      </c>
      <c r="U312" s="13">
        <f t="shared" si="44"/>
        <v>50</v>
      </c>
      <c r="V312" s="19" t="s">
        <v>3</v>
      </c>
      <c r="X312" s="3">
        <f t="shared" si="45"/>
        <v>5.17</v>
      </c>
    </row>
    <row r="313" spans="1:24" hidden="1" x14ac:dyDescent="0.25">
      <c r="A313" s="5" t="s">
        <v>243</v>
      </c>
      <c r="B313" s="18" t="s">
        <v>269</v>
      </c>
      <c r="C313" s="20" t="str">
        <f t="shared" si="41"/>
        <v>27</v>
      </c>
      <c r="D313" s="20" t="str">
        <f t="shared" si="42"/>
        <v>05</v>
      </c>
      <c r="E313" s="19" t="s">
        <v>21</v>
      </c>
      <c r="F313" s="19" t="s">
        <v>22</v>
      </c>
      <c r="G313" s="4" t="str">
        <f t="shared" si="43"/>
        <v>27/05/2021</v>
      </c>
      <c r="H313" s="19" t="s">
        <v>1</v>
      </c>
      <c r="I313" s="19" t="s">
        <v>0</v>
      </c>
      <c r="J313" s="5" t="s">
        <v>421</v>
      </c>
      <c r="K313" s="5" t="s">
        <v>228</v>
      </c>
      <c r="L313" s="22" t="str">
        <f>+VLOOKUP(K313,'[2]BASE DE PROVEEDORES'!$A:$B,2,0)</f>
        <v>SO S.A DE C.V.</v>
      </c>
      <c r="M313" s="25">
        <v>0</v>
      </c>
      <c r="N313" s="5" t="s">
        <v>2</v>
      </c>
      <c r="O313" s="5" t="s">
        <v>2</v>
      </c>
      <c r="P313" s="6">
        <v>9.9600000000000009</v>
      </c>
      <c r="Q313" s="5" t="s">
        <v>2</v>
      </c>
      <c r="R313" s="18" t="s">
        <v>2</v>
      </c>
      <c r="S313" s="18" t="s">
        <v>2</v>
      </c>
      <c r="T313" s="12">
        <v>1.29</v>
      </c>
      <c r="U313" s="13">
        <f t="shared" si="44"/>
        <v>11.25</v>
      </c>
      <c r="V313" s="19" t="s">
        <v>3</v>
      </c>
      <c r="X313" s="3">
        <f t="shared" si="45"/>
        <v>1.29</v>
      </c>
    </row>
    <row r="314" spans="1:24" hidden="1" x14ac:dyDescent="0.25">
      <c r="A314" s="5" t="s">
        <v>243</v>
      </c>
      <c r="B314" s="18" t="s">
        <v>418</v>
      </c>
      <c r="C314" s="20" t="str">
        <f t="shared" si="41"/>
        <v>28</v>
      </c>
      <c r="D314" s="20" t="str">
        <f t="shared" si="42"/>
        <v>05</v>
      </c>
      <c r="E314" s="19" t="s">
        <v>21</v>
      </c>
      <c r="F314" s="19" t="s">
        <v>22</v>
      </c>
      <c r="G314" s="4" t="str">
        <f t="shared" si="43"/>
        <v>28/05/2021</v>
      </c>
      <c r="H314" s="19" t="s">
        <v>1</v>
      </c>
      <c r="I314" s="19" t="s">
        <v>0</v>
      </c>
      <c r="J314" s="5" t="s">
        <v>419</v>
      </c>
      <c r="K314" s="5" t="s">
        <v>420</v>
      </c>
      <c r="L314" s="22" t="str">
        <f>+VLOOKUP(K314,'[2]BASE DE PROVEEDORES'!$A:$B,2,0)</f>
        <v>TRANSPORT S.A DE C.V.</v>
      </c>
      <c r="M314" s="25">
        <v>0</v>
      </c>
      <c r="N314" s="5" t="s">
        <v>2</v>
      </c>
      <c r="O314" s="5" t="s">
        <v>2</v>
      </c>
      <c r="P314" s="6">
        <v>131.82</v>
      </c>
      <c r="Q314" s="5" t="s">
        <v>2</v>
      </c>
      <c r="R314" s="18" t="s">
        <v>2</v>
      </c>
      <c r="S314" s="18" t="s">
        <v>2</v>
      </c>
      <c r="T314" s="12">
        <v>17.14</v>
      </c>
      <c r="U314" s="13">
        <f t="shared" si="44"/>
        <v>148.95999999999998</v>
      </c>
      <c r="V314" s="19" t="s">
        <v>3</v>
      </c>
      <c r="X314" s="3">
        <f t="shared" si="45"/>
        <v>17.14</v>
      </c>
    </row>
    <row r="315" spans="1:24" hidden="1" x14ac:dyDescent="0.25">
      <c r="A315" s="5" t="s">
        <v>243</v>
      </c>
      <c r="B315" s="18" t="s">
        <v>418</v>
      </c>
      <c r="C315" s="20" t="str">
        <f t="shared" si="41"/>
        <v>28</v>
      </c>
      <c r="D315" s="20" t="str">
        <f t="shared" si="42"/>
        <v>05</v>
      </c>
      <c r="E315" s="19" t="s">
        <v>21</v>
      </c>
      <c r="F315" s="19" t="s">
        <v>22</v>
      </c>
      <c r="G315" s="4" t="str">
        <f t="shared" si="43"/>
        <v>28/05/2021</v>
      </c>
      <c r="H315" s="19" t="s">
        <v>1</v>
      </c>
      <c r="I315" s="19" t="s">
        <v>0</v>
      </c>
      <c r="J315" s="5" t="s">
        <v>422</v>
      </c>
      <c r="K315" s="5" t="s">
        <v>172</v>
      </c>
      <c r="L315" s="22" t="str">
        <f>+VLOOKUP(K315,'[2]BASE DE PROVEEDORES'!$A:$B,2,0)</f>
        <v>MUNFRE S.A DE C.V.</v>
      </c>
      <c r="M315" s="25">
        <v>0</v>
      </c>
      <c r="N315" s="5" t="s">
        <v>2</v>
      </c>
      <c r="O315" s="5" t="s">
        <v>2</v>
      </c>
      <c r="P315" s="6">
        <v>22.75</v>
      </c>
      <c r="Q315" s="5" t="s">
        <v>2</v>
      </c>
      <c r="R315" s="18" t="s">
        <v>2</v>
      </c>
      <c r="S315" s="18" t="s">
        <v>2</v>
      </c>
      <c r="T315" s="12">
        <v>2.96</v>
      </c>
      <c r="U315" s="13">
        <f t="shared" si="44"/>
        <v>25.71</v>
      </c>
      <c r="V315" s="19" t="s">
        <v>3</v>
      </c>
      <c r="X315" s="3">
        <f t="shared" si="45"/>
        <v>2.96</v>
      </c>
    </row>
    <row r="316" spans="1:24" hidden="1" x14ac:dyDescent="0.25">
      <c r="A316" s="5" t="s">
        <v>243</v>
      </c>
      <c r="B316" s="18" t="s">
        <v>253</v>
      </c>
      <c r="C316" s="20" t="str">
        <f t="shared" si="41"/>
        <v>29</v>
      </c>
      <c r="D316" s="20" t="str">
        <f t="shared" si="42"/>
        <v>05</v>
      </c>
      <c r="E316" s="19" t="s">
        <v>21</v>
      </c>
      <c r="F316" s="19" t="s">
        <v>22</v>
      </c>
      <c r="G316" s="4" t="str">
        <f t="shared" si="43"/>
        <v>29/05/2021</v>
      </c>
      <c r="H316" s="19" t="s">
        <v>1</v>
      </c>
      <c r="I316" s="19" t="s">
        <v>0</v>
      </c>
      <c r="J316" s="5" t="s">
        <v>254</v>
      </c>
      <c r="K316" s="5" t="s">
        <v>55</v>
      </c>
      <c r="L316" s="22" t="str">
        <f>+VLOOKUP(K316,'[2]BASE DE PROVEEDORES'!$A:$B,2,0)</f>
        <v xml:space="preserve">DISTRIBUIDORA DE LUBRICANTES Y COMBUSTIBLES S.A DE C.V </v>
      </c>
      <c r="M316" s="25">
        <f>3.8+1.9</f>
        <v>5.6999999999999993</v>
      </c>
      <c r="N316" s="5" t="s">
        <v>2</v>
      </c>
      <c r="O316" s="5" t="s">
        <v>2</v>
      </c>
      <c r="P316" s="6">
        <v>44.16</v>
      </c>
      <c r="Q316" s="5" t="s">
        <v>2</v>
      </c>
      <c r="R316" s="18" t="s">
        <v>2</v>
      </c>
      <c r="S316" s="18" t="s">
        <v>2</v>
      </c>
      <c r="T316" s="12">
        <v>5.74</v>
      </c>
      <c r="U316" s="13">
        <f t="shared" si="44"/>
        <v>55.6</v>
      </c>
      <c r="V316" s="19" t="s">
        <v>3</v>
      </c>
      <c r="X316" s="3">
        <f t="shared" si="45"/>
        <v>5.74</v>
      </c>
    </row>
    <row r="317" spans="1:24" hidden="1" x14ac:dyDescent="0.25">
      <c r="A317" s="5" t="s">
        <v>243</v>
      </c>
      <c r="B317" s="18" t="s">
        <v>253</v>
      </c>
      <c r="C317" s="20" t="str">
        <f t="shared" si="41"/>
        <v>29</v>
      </c>
      <c r="D317" s="20" t="str">
        <f t="shared" si="42"/>
        <v>05</v>
      </c>
      <c r="E317" s="19" t="s">
        <v>21</v>
      </c>
      <c r="F317" s="19" t="s">
        <v>22</v>
      </c>
      <c r="G317" s="4" t="str">
        <f t="shared" si="43"/>
        <v>29/05/2021</v>
      </c>
      <c r="H317" s="19" t="s">
        <v>1</v>
      </c>
      <c r="I317" s="19" t="s">
        <v>0</v>
      </c>
      <c r="J317" s="5" t="s">
        <v>257</v>
      </c>
      <c r="K317" s="5" t="s">
        <v>55</v>
      </c>
      <c r="L317" s="22" t="str">
        <f>+VLOOKUP(K317,'[2]BASE DE PROVEEDORES'!$A:$B,2,0)</f>
        <v xml:space="preserve">DISTRIBUIDORA DE LUBRICANTES Y COMBUSTIBLES S.A DE C.V </v>
      </c>
      <c r="M317" s="25">
        <f>3.46+1.73</f>
        <v>5.1899999999999995</v>
      </c>
      <c r="N317" s="5" t="s">
        <v>2</v>
      </c>
      <c r="O317" s="5" t="s">
        <v>2</v>
      </c>
      <c r="P317" s="6">
        <v>40.270000000000003</v>
      </c>
      <c r="Q317" s="5" t="s">
        <v>2</v>
      </c>
      <c r="R317" s="18" t="s">
        <v>2</v>
      </c>
      <c r="S317" s="18" t="s">
        <v>2</v>
      </c>
      <c r="T317" s="12">
        <v>5.24</v>
      </c>
      <c r="U317" s="13">
        <f t="shared" si="44"/>
        <v>50.7</v>
      </c>
      <c r="V317" s="19" t="s">
        <v>3</v>
      </c>
      <c r="X317" s="3">
        <f t="shared" si="45"/>
        <v>5.24</v>
      </c>
    </row>
    <row r="318" spans="1:24" hidden="1" x14ac:dyDescent="0.25">
      <c r="A318" s="5" t="s">
        <v>243</v>
      </c>
      <c r="B318" s="18" t="s">
        <v>253</v>
      </c>
      <c r="C318" s="20" t="str">
        <f t="shared" si="41"/>
        <v>29</v>
      </c>
      <c r="D318" s="20" t="str">
        <f t="shared" si="42"/>
        <v>05</v>
      </c>
      <c r="E318" s="19" t="s">
        <v>21</v>
      </c>
      <c r="F318" s="19" t="s">
        <v>22</v>
      </c>
      <c r="G318" s="4" t="str">
        <f t="shared" si="43"/>
        <v>29/05/2021</v>
      </c>
      <c r="H318" s="19" t="s">
        <v>1</v>
      </c>
      <c r="I318" s="19" t="s">
        <v>0</v>
      </c>
      <c r="J318" s="5" t="s">
        <v>413</v>
      </c>
      <c r="K318" s="5" t="s">
        <v>27</v>
      </c>
      <c r="L318" s="22" t="str">
        <f>+VLOOKUP(K318,'[2]BASE DE PROVEEDORES'!$A:$B,2,0)</f>
        <v>LUIGEMI S.A DE C.V.</v>
      </c>
      <c r="M318" s="25">
        <f>1.6+0.8</f>
        <v>2.4000000000000004</v>
      </c>
      <c r="N318" s="5" t="s">
        <v>2</v>
      </c>
      <c r="O318" s="5" t="s">
        <v>2</v>
      </c>
      <c r="P318" s="6">
        <v>19.12</v>
      </c>
      <c r="Q318" s="5" t="s">
        <v>2</v>
      </c>
      <c r="R318" s="18" t="s">
        <v>2</v>
      </c>
      <c r="S318" s="18" t="s">
        <v>2</v>
      </c>
      <c r="T318" s="12">
        <v>2.4900000000000002</v>
      </c>
      <c r="U318" s="13">
        <f t="shared" si="44"/>
        <v>24.010000000000005</v>
      </c>
      <c r="V318" s="19" t="s">
        <v>3</v>
      </c>
      <c r="X318" s="3">
        <f t="shared" si="45"/>
        <v>2.4900000000000002</v>
      </c>
    </row>
    <row r="319" spans="1:24" hidden="1" x14ac:dyDescent="0.25">
      <c r="A319" s="5" t="s">
        <v>243</v>
      </c>
      <c r="B319" s="18" t="s">
        <v>410</v>
      </c>
      <c r="C319" s="20" t="str">
        <f t="shared" si="41"/>
        <v>31</v>
      </c>
      <c r="D319" s="20" t="str">
        <f t="shared" si="42"/>
        <v>05</v>
      </c>
      <c r="E319" s="19" t="s">
        <v>21</v>
      </c>
      <c r="F319" s="19" t="s">
        <v>22</v>
      </c>
      <c r="G319" s="4" t="str">
        <f t="shared" si="43"/>
        <v>31/05/2021</v>
      </c>
      <c r="H319" s="19" t="s">
        <v>1</v>
      </c>
      <c r="I319" s="19" t="s">
        <v>0</v>
      </c>
      <c r="J319" s="5" t="s">
        <v>411</v>
      </c>
      <c r="K319" s="5" t="s">
        <v>412</v>
      </c>
      <c r="L319" s="22" t="str">
        <f>+VLOOKUP(K319,'[2]BASE DE PROVEEDORES'!$A:$B,2,0)</f>
        <v>AMERICAN PETROLEUM DE EL SALVADOR S.A DE C.V.</v>
      </c>
      <c r="M319" s="25">
        <v>1.1000000000000001</v>
      </c>
      <c r="N319" s="5" t="s">
        <v>2</v>
      </c>
      <c r="O319" s="5" t="s">
        <v>2</v>
      </c>
      <c r="P319" s="6">
        <v>8.7200000000000006</v>
      </c>
      <c r="Q319" s="5" t="s">
        <v>2</v>
      </c>
      <c r="R319" s="18" t="s">
        <v>2</v>
      </c>
      <c r="S319" s="18" t="s">
        <v>2</v>
      </c>
      <c r="T319" s="12">
        <v>1.1299999999999999</v>
      </c>
      <c r="U319" s="13">
        <f t="shared" si="44"/>
        <v>10.95</v>
      </c>
      <c r="V319" s="19" t="s">
        <v>3</v>
      </c>
      <c r="X319" s="3">
        <f t="shared" si="45"/>
        <v>1.1299999999999999</v>
      </c>
    </row>
    <row r="320" spans="1:24" hidden="1" x14ac:dyDescent="0.25">
      <c r="A320" s="5" t="s">
        <v>243</v>
      </c>
      <c r="B320" s="18" t="s">
        <v>410</v>
      </c>
      <c r="C320" s="20" t="str">
        <f t="shared" si="41"/>
        <v>31</v>
      </c>
      <c r="D320" s="20" t="str">
        <f t="shared" si="42"/>
        <v>05</v>
      </c>
      <c r="E320" s="19" t="s">
        <v>21</v>
      </c>
      <c r="F320" s="19" t="s">
        <v>22</v>
      </c>
      <c r="G320" s="4" t="str">
        <f t="shared" si="43"/>
        <v>31/05/2021</v>
      </c>
      <c r="H320" s="19" t="s">
        <v>1</v>
      </c>
      <c r="I320" s="19" t="s">
        <v>0</v>
      </c>
      <c r="J320" s="5" t="s">
        <v>414</v>
      </c>
      <c r="K320" s="5" t="s">
        <v>42</v>
      </c>
      <c r="L320" s="22" t="str">
        <f>+VLOOKUP(K320,'[2]BASE DE PROVEEDORES'!$A:$B,2,0)</f>
        <v>ECSA OPERADORA EL SALVADOR S.A DE C.V.</v>
      </c>
      <c r="M320" s="25">
        <v>2.5299999999999998</v>
      </c>
      <c r="N320" s="5" t="s">
        <v>2</v>
      </c>
      <c r="O320" s="5" t="s">
        <v>2</v>
      </c>
      <c r="P320" s="6">
        <v>24.74</v>
      </c>
      <c r="Q320" s="5" t="s">
        <v>2</v>
      </c>
      <c r="R320" s="18" t="s">
        <v>2</v>
      </c>
      <c r="S320" s="18" t="s">
        <v>2</v>
      </c>
      <c r="T320" s="12">
        <v>3.22</v>
      </c>
      <c r="U320" s="13">
        <f t="shared" si="44"/>
        <v>30.49</v>
      </c>
      <c r="V320" s="19" t="s">
        <v>3</v>
      </c>
      <c r="X320" s="3">
        <f t="shared" si="45"/>
        <v>3.22</v>
      </c>
    </row>
    <row r="321" spans="1:24" hidden="1" x14ac:dyDescent="0.25">
      <c r="A321" s="5" t="s">
        <v>243</v>
      </c>
      <c r="B321" s="18" t="s">
        <v>410</v>
      </c>
      <c r="C321" s="20" t="str">
        <f t="shared" si="41"/>
        <v>31</v>
      </c>
      <c r="D321" s="20" t="str">
        <f t="shared" si="42"/>
        <v>05</v>
      </c>
      <c r="E321" s="19" t="s">
        <v>21</v>
      </c>
      <c r="F321" s="19" t="s">
        <v>22</v>
      </c>
      <c r="G321" s="4" t="str">
        <f t="shared" si="43"/>
        <v>31/05/2021</v>
      </c>
      <c r="H321" s="19" t="s">
        <v>1</v>
      </c>
      <c r="I321" s="19" t="s">
        <v>0</v>
      </c>
      <c r="J321" s="5" t="s">
        <v>426</v>
      </c>
      <c r="K321" s="5" t="s">
        <v>192</v>
      </c>
      <c r="L321" s="22" t="str">
        <f>+VLOOKUP(K321,'[2]BASE DE PROVEEDORES'!$A:$B,2,0)</f>
        <v>REPUESTOS NOE S.A DE C.V.</v>
      </c>
      <c r="M321" s="25">
        <v>0</v>
      </c>
      <c r="N321" s="5" t="s">
        <v>2</v>
      </c>
      <c r="O321" s="5" t="s">
        <v>2</v>
      </c>
      <c r="P321" s="6">
        <v>25</v>
      </c>
      <c r="Q321" s="5" t="s">
        <v>2</v>
      </c>
      <c r="R321" s="18" t="s">
        <v>2</v>
      </c>
      <c r="S321" s="18" t="s">
        <v>2</v>
      </c>
      <c r="T321" s="12">
        <v>3.25</v>
      </c>
      <c r="U321" s="13">
        <f t="shared" si="44"/>
        <v>28.25</v>
      </c>
      <c r="V321" s="19" t="s">
        <v>3</v>
      </c>
      <c r="X321" s="3">
        <f t="shared" si="45"/>
        <v>3.25</v>
      </c>
    </row>
    <row r="322" spans="1:24" hidden="1" x14ac:dyDescent="0.25">
      <c r="A322" s="5" t="s">
        <v>243</v>
      </c>
      <c r="B322" s="18" t="s">
        <v>410</v>
      </c>
      <c r="C322" s="20" t="str">
        <f t="shared" si="41"/>
        <v>31</v>
      </c>
      <c r="D322" s="20" t="str">
        <f t="shared" si="42"/>
        <v>05</v>
      </c>
      <c r="E322" s="19" t="s">
        <v>21</v>
      </c>
      <c r="F322" s="19" t="s">
        <v>22</v>
      </c>
      <c r="G322" s="4" t="str">
        <f t="shared" si="43"/>
        <v>31/05/2021</v>
      </c>
      <c r="H322" s="19" t="s">
        <v>1</v>
      </c>
      <c r="I322" s="19" t="s">
        <v>0</v>
      </c>
      <c r="J322" s="5" t="s">
        <v>428</v>
      </c>
      <c r="K322" s="5" t="s">
        <v>429</v>
      </c>
      <c r="L322" s="22" t="str">
        <f>+VLOOKUP(K322,'[2]BASE DE PROVEEDORES'!$A:$B,2,0)</f>
        <v>GRUPO FERRESAL Y JM CONSTRUCCIONES</v>
      </c>
      <c r="M322" s="25">
        <v>0</v>
      </c>
      <c r="N322" s="5" t="s">
        <v>2</v>
      </c>
      <c r="O322" s="5" t="s">
        <v>2</v>
      </c>
      <c r="P322" s="6">
        <v>26.37</v>
      </c>
      <c r="Q322" s="5" t="s">
        <v>2</v>
      </c>
      <c r="R322" s="18" t="s">
        <v>2</v>
      </c>
      <c r="S322" s="18" t="s">
        <v>2</v>
      </c>
      <c r="T322" s="12">
        <v>3.43</v>
      </c>
      <c r="U322" s="13">
        <f t="shared" si="44"/>
        <v>29.8</v>
      </c>
      <c r="V322" s="19" t="s">
        <v>3</v>
      </c>
      <c r="X322" s="3">
        <f t="shared" si="45"/>
        <v>3.43</v>
      </c>
    </row>
    <row r="323" spans="1:24" x14ac:dyDescent="0.25">
      <c r="A323" s="5" t="s">
        <v>487</v>
      </c>
      <c r="B323" s="18" t="s">
        <v>488</v>
      </c>
      <c r="C323" s="20" t="str">
        <f t="shared" ref="C323:C386" si="46">+LEFT(B323,2)</f>
        <v>07</v>
      </c>
      <c r="D323" s="20" t="str">
        <f t="shared" ref="D323:D386" si="47">+RIGHT(B323,2)</f>
        <v>06</v>
      </c>
      <c r="E323" s="19" t="s">
        <v>21</v>
      </c>
      <c r="F323" s="19" t="s">
        <v>22</v>
      </c>
      <c r="G323" s="4" t="str">
        <f t="shared" ref="G323:G386" si="48">+C323&amp;F323&amp;D323&amp;F323&amp;E323</f>
        <v>07/06/2021</v>
      </c>
      <c r="H323" s="19" t="s">
        <v>1</v>
      </c>
      <c r="I323" s="19" t="s">
        <v>0</v>
      </c>
      <c r="J323" s="5" t="s">
        <v>489</v>
      </c>
      <c r="K323" s="5" t="s">
        <v>55</v>
      </c>
      <c r="L323" s="22" t="str">
        <f>+VLOOKUP(K323,'[2]BASE DE PROVEEDORES'!$A:$B,2,0)</f>
        <v xml:space="preserve">DISTRIBUIDORA DE LUBRICANTES Y COMBUSTIBLES S.A DE C.V </v>
      </c>
      <c r="M323" s="25">
        <f>2.55+1.27</f>
        <v>3.82</v>
      </c>
      <c r="N323" s="5" t="s">
        <v>2</v>
      </c>
      <c r="O323" s="5" t="s">
        <v>2</v>
      </c>
      <c r="P323" s="6">
        <v>39.090000000000003</v>
      </c>
      <c r="Q323" s="5" t="s">
        <v>2</v>
      </c>
      <c r="R323" s="18" t="s">
        <v>2</v>
      </c>
      <c r="S323" s="18" t="s">
        <v>2</v>
      </c>
      <c r="T323" s="12">
        <f>+P323*0.13</f>
        <v>5.0817000000000005</v>
      </c>
      <c r="U323" s="13">
        <f t="shared" ref="U323:U386" si="49">+M323+P323+T323</f>
        <v>47.991700000000002</v>
      </c>
      <c r="V323" s="19" t="s">
        <v>3</v>
      </c>
      <c r="X323" s="3"/>
    </row>
    <row r="324" spans="1:24" x14ac:dyDescent="0.25">
      <c r="A324" s="5" t="s">
        <v>487</v>
      </c>
      <c r="B324" s="18" t="s">
        <v>490</v>
      </c>
      <c r="C324" s="20" t="str">
        <f t="shared" si="46"/>
        <v>18</v>
      </c>
      <c r="D324" s="20" t="str">
        <f t="shared" si="47"/>
        <v>06</v>
      </c>
      <c r="E324" s="19" t="s">
        <v>21</v>
      </c>
      <c r="F324" s="19" t="s">
        <v>22</v>
      </c>
      <c r="G324" s="4" t="str">
        <f t="shared" si="48"/>
        <v>18/06/2021</v>
      </c>
      <c r="H324" s="19" t="s">
        <v>1</v>
      </c>
      <c r="I324" s="19" t="s">
        <v>0</v>
      </c>
      <c r="J324" s="5" t="s">
        <v>491</v>
      </c>
      <c r="K324" s="5" t="s">
        <v>55</v>
      </c>
      <c r="L324" s="22" t="str">
        <f>+VLOOKUP(K324,'[2]BASE DE PROVEEDORES'!$A:$B,2,0)</f>
        <v xml:space="preserve">DISTRIBUIDORA DE LUBRICANTES Y COMBUSTIBLES S.A DE C.V </v>
      </c>
      <c r="M324" s="25">
        <f>32.75+16.38</f>
        <v>49.129999999999995</v>
      </c>
      <c r="N324" s="5" t="s">
        <v>2</v>
      </c>
      <c r="O324" s="5" t="s">
        <v>2</v>
      </c>
      <c r="P324" s="6">
        <v>397.14</v>
      </c>
      <c r="Q324" s="5" t="s">
        <v>2</v>
      </c>
      <c r="R324" s="18" t="s">
        <v>2</v>
      </c>
      <c r="S324" s="18" t="s">
        <v>2</v>
      </c>
      <c r="T324" s="12">
        <f t="shared" ref="T324:T387" si="50">+P324*0.13</f>
        <v>51.6282</v>
      </c>
      <c r="U324" s="13">
        <f t="shared" si="49"/>
        <v>497.89819999999997</v>
      </c>
      <c r="V324" s="19" t="s">
        <v>3</v>
      </c>
      <c r="X324" s="3"/>
    </row>
    <row r="325" spans="1:24" x14ac:dyDescent="0.25">
      <c r="A325" s="5" t="s">
        <v>487</v>
      </c>
      <c r="B325" s="18" t="s">
        <v>490</v>
      </c>
      <c r="C325" s="20" t="str">
        <f t="shared" si="46"/>
        <v>18</v>
      </c>
      <c r="D325" s="20" t="str">
        <f t="shared" si="47"/>
        <v>06</v>
      </c>
      <c r="E325" s="19" t="s">
        <v>21</v>
      </c>
      <c r="F325" s="19" t="s">
        <v>22</v>
      </c>
      <c r="G325" s="4" t="str">
        <f t="shared" si="48"/>
        <v>18/06/2021</v>
      </c>
      <c r="H325" s="19" t="s">
        <v>1</v>
      </c>
      <c r="I325" s="19" t="s">
        <v>0</v>
      </c>
      <c r="J325" s="5" t="s">
        <v>492</v>
      </c>
      <c r="K325" s="5" t="s">
        <v>55</v>
      </c>
      <c r="L325" s="22" t="str">
        <f>+VLOOKUP(K325,'[2]BASE DE PROVEEDORES'!$A:$B,2,0)</f>
        <v xml:space="preserve">DISTRIBUIDORA DE LUBRICANTES Y COMBUSTIBLES S.A DE C.V </v>
      </c>
      <c r="M325" s="25">
        <f>0.86+0.43</f>
        <v>1.29</v>
      </c>
      <c r="N325" s="5" t="s">
        <v>2</v>
      </c>
      <c r="O325" s="5" t="s">
        <v>2</v>
      </c>
      <c r="P325" s="6">
        <v>10.49</v>
      </c>
      <c r="Q325" s="5" t="s">
        <v>2</v>
      </c>
      <c r="R325" s="18" t="s">
        <v>2</v>
      </c>
      <c r="S325" s="18" t="s">
        <v>2</v>
      </c>
      <c r="T325" s="12">
        <f t="shared" si="50"/>
        <v>1.3637000000000001</v>
      </c>
      <c r="U325" s="13">
        <f t="shared" si="49"/>
        <v>13.143700000000001</v>
      </c>
      <c r="V325" s="19" t="s">
        <v>3</v>
      </c>
      <c r="X325" s="3"/>
    </row>
    <row r="326" spans="1:24" x14ac:dyDescent="0.25">
      <c r="A326" s="5" t="s">
        <v>487</v>
      </c>
      <c r="B326" s="18" t="s">
        <v>490</v>
      </c>
      <c r="C326" s="20" t="str">
        <f t="shared" si="46"/>
        <v>18</v>
      </c>
      <c r="D326" s="20" t="str">
        <f t="shared" si="47"/>
        <v>06</v>
      </c>
      <c r="E326" s="19" t="s">
        <v>21</v>
      </c>
      <c r="F326" s="19" t="s">
        <v>22</v>
      </c>
      <c r="G326" s="4" t="str">
        <f t="shared" si="48"/>
        <v>18/06/2021</v>
      </c>
      <c r="H326" s="19" t="s">
        <v>1</v>
      </c>
      <c r="I326" s="19" t="s">
        <v>0</v>
      </c>
      <c r="J326" s="5" t="s">
        <v>493</v>
      </c>
      <c r="K326" s="5" t="s">
        <v>55</v>
      </c>
      <c r="L326" s="22" t="str">
        <f>+VLOOKUP(K326,'[2]BASE DE PROVEEDORES'!$A:$B,2,0)</f>
        <v xml:space="preserve">DISTRIBUIDORA DE LUBRICANTES Y COMBUSTIBLES S.A DE C.V </v>
      </c>
      <c r="M326" s="25">
        <f>0.51+0.26</f>
        <v>0.77</v>
      </c>
      <c r="N326" s="5" t="s">
        <v>2</v>
      </c>
      <c r="O326" s="5" t="s">
        <v>2</v>
      </c>
      <c r="P326" s="6">
        <v>6.3</v>
      </c>
      <c r="Q326" s="5" t="s">
        <v>2</v>
      </c>
      <c r="R326" s="18" t="s">
        <v>2</v>
      </c>
      <c r="S326" s="18" t="s">
        <v>2</v>
      </c>
      <c r="T326" s="12">
        <f t="shared" si="50"/>
        <v>0.81899999999999995</v>
      </c>
      <c r="U326" s="13">
        <f t="shared" si="49"/>
        <v>7.8890000000000002</v>
      </c>
      <c r="V326" s="19" t="s">
        <v>3</v>
      </c>
      <c r="X326" s="3"/>
    </row>
    <row r="327" spans="1:24" x14ac:dyDescent="0.25">
      <c r="A327" s="5" t="s">
        <v>487</v>
      </c>
      <c r="B327" s="18" t="s">
        <v>494</v>
      </c>
      <c r="C327" s="20" t="str">
        <f t="shared" si="46"/>
        <v>22</v>
      </c>
      <c r="D327" s="20" t="str">
        <f t="shared" si="47"/>
        <v>06</v>
      </c>
      <c r="E327" s="19" t="s">
        <v>21</v>
      </c>
      <c r="F327" s="19" t="s">
        <v>22</v>
      </c>
      <c r="G327" s="4" t="str">
        <f t="shared" si="48"/>
        <v>22/06/2021</v>
      </c>
      <c r="H327" s="19" t="s">
        <v>1</v>
      </c>
      <c r="I327" s="19" t="s">
        <v>0</v>
      </c>
      <c r="J327" s="5" t="s">
        <v>495</v>
      </c>
      <c r="K327" s="5" t="s">
        <v>55</v>
      </c>
      <c r="L327" s="22" t="str">
        <f>+VLOOKUP(K327,'[2]BASE DE PROVEEDORES'!$A:$B,2,0)</f>
        <v xml:space="preserve">DISTRIBUIDORA DE LUBRICANTES Y COMBUSTIBLES S.A DE C.V </v>
      </c>
      <c r="M327" s="25">
        <f>12.6+6.3</f>
        <v>18.899999999999999</v>
      </c>
      <c r="N327" s="5" t="s">
        <v>2</v>
      </c>
      <c r="O327" s="5" t="s">
        <v>2</v>
      </c>
      <c r="P327" s="6">
        <v>152.79</v>
      </c>
      <c r="Q327" s="5" t="s">
        <v>2</v>
      </c>
      <c r="R327" s="18" t="s">
        <v>2</v>
      </c>
      <c r="S327" s="18" t="s">
        <v>2</v>
      </c>
      <c r="T327" s="12">
        <f t="shared" si="50"/>
        <v>19.8627</v>
      </c>
      <c r="U327" s="13">
        <f t="shared" si="49"/>
        <v>191.55269999999999</v>
      </c>
      <c r="V327" s="19" t="s">
        <v>3</v>
      </c>
      <c r="X327" s="3"/>
    </row>
    <row r="328" spans="1:24" x14ac:dyDescent="0.25">
      <c r="A328" s="5" t="s">
        <v>487</v>
      </c>
      <c r="B328" s="18" t="s">
        <v>496</v>
      </c>
      <c r="C328" s="20" t="str">
        <f t="shared" si="46"/>
        <v>23</v>
      </c>
      <c r="D328" s="20" t="str">
        <f t="shared" si="47"/>
        <v>06</v>
      </c>
      <c r="E328" s="19" t="s">
        <v>21</v>
      </c>
      <c r="F328" s="19" t="s">
        <v>22</v>
      </c>
      <c r="G328" s="4" t="str">
        <f t="shared" si="48"/>
        <v>23/06/2021</v>
      </c>
      <c r="H328" s="19" t="s">
        <v>1</v>
      </c>
      <c r="I328" s="19" t="s">
        <v>0</v>
      </c>
      <c r="J328" s="5" t="s">
        <v>497</v>
      </c>
      <c r="K328" s="5" t="s">
        <v>55</v>
      </c>
      <c r="L328" s="22" t="str">
        <f>+VLOOKUP(K328,'[2]BASE DE PROVEEDORES'!$A:$B,2,0)</f>
        <v xml:space="preserve">DISTRIBUIDORA DE LUBRICANTES Y COMBUSTIBLES S.A DE C.V </v>
      </c>
      <c r="M328" s="25">
        <f>6.03+3.01</f>
        <v>9.0399999999999991</v>
      </c>
      <c r="N328" s="5" t="s">
        <v>2</v>
      </c>
      <c r="O328" s="5" t="s">
        <v>2</v>
      </c>
      <c r="P328" s="6">
        <v>73.069999999999993</v>
      </c>
      <c r="Q328" s="5" t="s">
        <v>2</v>
      </c>
      <c r="R328" s="18" t="s">
        <v>2</v>
      </c>
      <c r="S328" s="18" t="s">
        <v>2</v>
      </c>
      <c r="T328" s="12">
        <f t="shared" si="50"/>
        <v>9.4991000000000003</v>
      </c>
      <c r="U328" s="13">
        <f t="shared" si="49"/>
        <v>91.609099999999984</v>
      </c>
      <c r="V328" s="19" t="s">
        <v>3</v>
      </c>
      <c r="X328" s="3"/>
    </row>
    <row r="329" spans="1:24" x14ac:dyDescent="0.25">
      <c r="A329" s="5" t="s">
        <v>487</v>
      </c>
      <c r="B329" s="18" t="s">
        <v>498</v>
      </c>
      <c r="C329" s="20" t="str">
        <f t="shared" si="46"/>
        <v>24</v>
      </c>
      <c r="D329" s="20" t="str">
        <f t="shared" si="47"/>
        <v>06</v>
      </c>
      <c r="E329" s="19" t="s">
        <v>21</v>
      </c>
      <c r="F329" s="19" t="s">
        <v>22</v>
      </c>
      <c r="G329" s="4" t="str">
        <f t="shared" si="48"/>
        <v>24/06/2021</v>
      </c>
      <c r="H329" s="19" t="s">
        <v>1</v>
      </c>
      <c r="I329" s="19" t="s">
        <v>0</v>
      </c>
      <c r="J329" s="5" t="s">
        <v>499</v>
      </c>
      <c r="K329" s="5" t="s">
        <v>55</v>
      </c>
      <c r="L329" s="22" t="str">
        <f>+VLOOKUP(K329,'[2]BASE DE PROVEEDORES'!$A:$B,2,0)</f>
        <v xml:space="preserve">DISTRIBUIDORA DE LUBRICANTES Y COMBUSTIBLES S.A DE C.V </v>
      </c>
      <c r="M329" s="25">
        <f>12.4+0.2</f>
        <v>12.6</v>
      </c>
      <c r="N329" s="5" t="s">
        <v>2</v>
      </c>
      <c r="O329" s="5" t="s">
        <v>2</v>
      </c>
      <c r="P329" s="6">
        <v>150.36000000000001</v>
      </c>
      <c r="Q329" s="5" t="s">
        <v>2</v>
      </c>
      <c r="R329" s="18" t="s">
        <v>2</v>
      </c>
      <c r="S329" s="18" t="s">
        <v>2</v>
      </c>
      <c r="T329" s="12">
        <f t="shared" si="50"/>
        <v>19.546800000000001</v>
      </c>
      <c r="U329" s="13">
        <f t="shared" si="49"/>
        <v>182.5068</v>
      </c>
      <c r="V329" s="19" t="s">
        <v>3</v>
      </c>
      <c r="X329" s="3"/>
    </row>
    <row r="330" spans="1:24" x14ac:dyDescent="0.25">
      <c r="A330" s="5" t="s">
        <v>487</v>
      </c>
      <c r="B330" s="18" t="s">
        <v>498</v>
      </c>
      <c r="C330" s="20" t="str">
        <f t="shared" si="46"/>
        <v>24</v>
      </c>
      <c r="D330" s="20" t="str">
        <f t="shared" si="47"/>
        <v>06</v>
      </c>
      <c r="E330" s="19" t="s">
        <v>21</v>
      </c>
      <c r="F330" s="19" t="s">
        <v>22</v>
      </c>
      <c r="G330" s="4" t="str">
        <f t="shared" si="48"/>
        <v>24/06/2021</v>
      </c>
      <c r="H330" s="19" t="s">
        <v>1</v>
      </c>
      <c r="I330" s="19" t="s">
        <v>0</v>
      </c>
      <c r="J330" s="5" t="s">
        <v>500</v>
      </c>
      <c r="K330" s="5" t="s">
        <v>55</v>
      </c>
      <c r="L330" s="22" t="str">
        <f>+VLOOKUP(K330,'[2]BASE DE PROVEEDORES'!$A:$B,2,0)</f>
        <v xml:space="preserve">DISTRIBUIDORA DE LUBRICANTES Y COMBUSTIBLES S.A DE C.V </v>
      </c>
      <c r="M330" s="25">
        <f>2.81+1.4</f>
        <v>4.21</v>
      </c>
      <c r="N330" s="5" t="s">
        <v>2</v>
      </c>
      <c r="O330" s="5" t="s">
        <v>2</v>
      </c>
      <c r="P330" s="6">
        <v>34.159999999999997</v>
      </c>
      <c r="Q330" s="5" t="s">
        <v>2</v>
      </c>
      <c r="R330" s="18" t="s">
        <v>2</v>
      </c>
      <c r="S330" s="18" t="s">
        <v>2</v>
      </c>
      <c r="T330" s="12">
        <f t="shared" si="50"/>
        <v>4.4407999999999994</v>
      </c>
      <c r="U330" s="13">
        <f t="shared" si="49"/>
        <v>42.8108</v>
      </c>
      <c r="V330" s="19" t="s">
        <v>3</v>
      </c>
      <c r="X330" s="3"/>
    </row>
    <row r="331" spans="1:24" x14ac:dyDescent="0.25">
      <c r="A331" s="5" t="s">
        <v>487</v>
      </c>
      <c r="B331" s="18" t="s">
        <v>501</v>
      </c>
      <c r="C331" s="20" t="str">
        <f t="shared" si="46"/>
        <v>14</v>
      </c>
      <c r="D331" s="20" t="str">
        <f t="shared" si="47"/>
        <v>06</v>
      </c>
      <c r="E331" s="19" t="s">
        <v>21</v>
      </c>
      <c r="F331" s="19" t="s">
        <v>22</v>
      </c>
      <c r="G331" s="4" t="str">
        <f t="shared" si="48"/>
        <v>14/06/2021</v>
      </c>
      <c r="H331" s="19" t="s">
        <v>1</v>
      </c>
      <c r="I331" s="19" t="s">
        <v>0</v>
      </c>
      <c r="J331" s="5" t="s">
        <v>502</v>
      </c>
      <c r="K331" s="5" t="s">
        <v>55</v>
      </c>
      <c r="L331" s="22" t="str">
        <f>+VLOOKUP(K331,'[2]BASE DE PROVEEDORES'!$A:$B,2,0)</f>
        <v xml:space="preserve">DISTRIBUIDORA DE LUBRICANTES Y COMBUSTIBLES S.A DE C.V </v>
      </c>
      <c r="M331" s="25">
        <f>9.88+4.94</f>
        <v>14.82</v>
      </c>
      <c r="N331" s="5" t="s">
        <v>2</v>
      </c>
      <c r="O331" s="5" t="s">
        <v>2</v>
      </c>
      <c r="P331" s="6">
        <v>117.75</v>
      </c>
      <c r="Q331" s="5" t="s">
        <v>2</v>
      </c>
      <c r="R331" s="18" t="s">
        <v>2</v>
      </c>
      <c r="S331" s="18" t="s">
        <v>2</v>
      </c>
      <c r="T331" s="12">
        <f t="shared" si="50"/>
        <v>15.307500000000001</v>
      </c>
      <c r="U331" s="13">
        <f t="shared" si="49"/>
        <v>147.8775</v>
      </c>
      <c r="V331" s="19" t="s">
        <v>3</v>
      </c>
      <c r="X331" s="3"/>
    </row>
    <row r="332" spans="1:24" x14ac:dyDescent="0.25">
      <c r="A332" s="5" t="s">
        <v>487</v>
      </c>
      <c r="B332" s="18" t="s">
        <v>501</v>
      </c>
      <c r="C332" s="20" t="str">
        <f t="shared" si="46"/>
        <v>14</v>
      </c>
      <c r="D332" s="20" t="str">
        <f t="shared" si="47"/>
        <v>06</v>
      </c>
      <c r="E332" s="19" t="s">
        <v>21</v>
      </c>
      <c r="F332" s="19" t="s">
        <v>22</v>
      </c>
      <c r="G332" s="4" t="str">
        <f t="shared" si="48"/>
        <v>14/06/2021</v>
      </c>
      <c r="H332" s="19" t="s">
        <v>1</v>
      </c>
      <c r="I332" s="19" t="s">
        <v>0</v>
      </c>
      <c r="J332" s="5" t="s">
        <v>503</v>
      </c>
      <c r="K332" s="5" t="s">
        <v>55</v>
      </c>
      <c r="L332" s="22" t="str">
        <f>+VLOOKUP(K332,'[2]BASE DE PROVEEDORES'!$A:$B,2,0)</f>
        <v xml:space="preserve">DISTRIBUIDORA DE LUBRICANTES Y COMBUSTIBLES S.A DE C.V </v>
      </c>
      <c r="M332" s="25">
        <f>3.23+1.62</f>
        <v>4.8499999999999996</v>
      </c>
      <c r="N332" s="5" t="s">
        <v>2</v>
      </c>
      <c r="O332" s="5" t="s">
        <v>2</v>
      </c>
      <c r="P332" s="6">
        <v>38.47</v>
      </c>
      <c r="Q332" s="5" t="s">
        <v>2</v>
      </c>
      <c r="R332" s="18" t="s">
        <v>2</v>
      </c>
      <c r="S332" s="18" t="s">
        <v>2</v>
      </c>
      <c r="T332" s="12">
        <f t="shared" si="50"/>
        <v>5.0011000000000001</v>
      </c>
      <c r="U332" s="13">
        <f t="shared" si="49"/>
        <v>48.321100000000001</v>
      </c>
      <c r="V332" s="19" t="s">
        <v>3</v>
      </c>
      <c r="X332" s="3"/>
    </row>
    <row r="333" spans="1:24" x14ac:dyDescent="0.25">
      <c r="A333" s="5" t="s">
        <v>487</v>
      </c>
      <c r="B333" s="18" t="s">
        <v>501</v>
      </c>
      <c r="C333" s="20" t="str">
        <f t="shared" si="46"/>
        <v>14</v>
      </c>
      <c r="D333" s="20" t="str">
        <f t="shared" si="47"/>
        <v>06</v>
      </c>
      <c r="E333" s="19" t="s">
        <v>21</v>
      </c>
      <c r="F333" s="19" t="s">
        <v>22</v>
      </c>
      <c r="G333" s="4" t="str">
        <f t="shared" si="48"/>
        <v>14/06/2021</v>
      </c>
      <c r="H333" s="19" t="s">
        <v>1</v>
      </c>
      <c r="I333" s="19" t="s">
        <v>0</v>
      </c>
      <c r="J333" s="5" t="s">
        <v>504</v>
      </c>
      <c r="K333" s="5" t="s">
        <v>55</v>
      </c>
      <c r="L333" s="22" t="str">
        <f>+VLOOKUP(K333,'[2]BASE DE PROVEEDORES'!$A:$B,2,0)</f>
        <v xml:space="preserve">DISTRIBUIDORA DE LUBRICANTES Y COMBUSTIBLES S.A DE C.V </v>
      </c>
      <c r="M333" s="25">
        <f>3.32+1.66</f>
        <v>4.9799999999999995</v>
      </c>
      <c r="N333" s="5" t="s">
        <v>2</v>
      </c>
      <c r="O333" s="5" t="s">
        <v>2</v>
      </c>
      <c r="P333" s="6">
        <v>39.49</v>
      </c>
      <c r="Q333" s="5" t="s">
        <v>2</v>
      </c>
      <c r="R333" s="18" t="s">
        <v>2</v>
      </c>
      <c r="S333" s="18" t="s">
        <v>2</v>
      </c>
      <c r="T333" s="12">
        <f t="shared" si="50"/>
        <v>5.1337000000000002</v>
      </c>
      <c r="U333" s="13">
        <f t="shared" si="49"/>
        <v>49.603699999999996</v>
      </c>
      <c r="V333" s="19" t="s">
        <v>3</v>
      </c>
      <c r="X333" s="3"/>
    </row>
    <row r="334" spans="1:24" x14ac:dyDescent="0.25">
      <c r="A334" s="5" t="s">
        <v>487</v>
      </c>
      <c r="B334" s="18" t="s">
        <v>501</v>
      </c>
      <c r="C334" s="20" t="str">
        <f t="shared" si="46"/>
        <v>14</v>
      </c>
      <c r="D334" s="20" t="str">
        <f t="shared" si="47"/>
        <v>06</v>
      </c>
      <c r="E334" s="19" t="s">
        <v>21</v>
      </c>
      <c r="F334" s="19" t="s">
        <v>22</v>
      </c>
      <c r="G334" s="4" t="str">
        <f t="shared" si="48"/>
        <v>14/06/2021</v>
      </c>
      <c r="H334" s="19" t="s">
        <v>1</v>
      </c>
      <c r="I334" s="19" t="s">
        <v>0</v>
      </c>
      <c r="J334" s="5" t="s">
        <v>505</v>
      </c>
      <c r="K334" s="5" t="s">
        <v>55</v>
      </c>
      <c r="L334" s="22" t="str">
        <f>+VLOOKUP(K334,'[2]BASE DE PROVEEDORES'!$A:$B,2,0)</f>
        <v xml:space="preserve">DISTRIBUIDORA DE LUBRICANTES Y COMBUSTIBLES S.A DE C.V </v>
      </c>
      <c r="M334" s="25">
        <v>4.5</v>
      </c>
      <c r="N334" s="5" t="s">
        <v>2</v>
      </c>
      <c r="O334" s="5" t="s">
        <v>2</v>
      </c>
      <c r="P334" s="6">
        <v>35.74</v>
      </c>
      <c r="Q334" s="5" t="s">
        <v>2</v>
      </c>
      <c r="R334" s="18" t="s">
        <v>2</v>
      </c>
      <c r="S334" s="18" t="s">
        <v>2</v>
      </c>
      <c r="T334" s="12">
        <f t="shared" si="50"/>
        <v>4.6462000000000003</v>
      </c>
      <c r="U334" s="13">
        <f t="shared" si="49"/>
        <v>44.886200000000002</v>
      </c>
      <c r="V334" s="19" t="s">
        <v>3</v>
      </c>
      <c r="X334" s="3"/>
    </row>
    <row r="335" spans="1:24" x14ac:dyDescent="0.25">
      <c r="A335" s="5" t="s">
        <v>487</v>
      </c>
      <c r="B335" s="18" t="s">
        <v>501</v>
      </c>
      <c r="C335" s="20" t="str">
        <f t="shared" si="46"/>
        <v>14</v>
      </c>
      <c r="D335" s="20" t="str">
        <f t="shared" si="47"/>
        <v>06</v>
      </c>
      <c r="E335" s="19" t="s">
        <v>21</v>
      </c>
      <c r="F335" s="19" t="s">
        <v>22</v>
      </c>
      <c r="G335" s="4" t="str">
        <f t="shared" si="48"/>
        <v>14/06/2021</v>
      </c>
      <c r="H335" s="19" t="s">
        <v>1</v>
      </c>
      <c r="I335" s="19" t="s">
        <v>0</v>
      </c>
      <c r="J335" s="5" t="s">
        <v>506</v>
      </c>
      <c r="K335" s="5" t="s">
        <v>55</v>
      </c>
      <c r="L335" s="22" t="str">
        <f>+VLOOKUP(K335,'[2]BASE DE PROVEEDORES'!$A:$B,2,0)</f>
        <v xml:space="preserve">DISTRIBUIDORA DE LUBRICANTES Y COMBUSTIBLES S.A DE C.V </v>
      </c>
      <c r="M335" s="25">
        <f>19.82+9.91</f>
        <v>29.73</v>
      </c>
      <c r="N335" s="5" t="s">
        <v>2</v>
      </c>
      <c r="O335" s="5" t="s">
        <v>2</v>
      </c>
      <c r="P335" s="6">
        <v>236.21</v>
      </c>
      <c r="Q335" s="5" t="s">
        <v>2</v>
      </c>
      <c r="R335" s="18" t="s">
        <v>2</v>
      </c>
      <c r="S335" s="18" t="s">
        <v>2</v>
      </c>
      <c r="T335" s="12">
        <f t="shared" si="50"/>
        <v>30.707300000000004</v>
      </c>
      <c r="U335" s="13">
        <f t="shared" si="49"/>
        <v>296.64729999999997</v>
      </c>
      <c r="V335" s="19" t="s">
        <v>3</v>
      </c>
      <c r="X335" s="3"/>
    </row>
    <row r="336" spans="1:24" x14ac:dyDescent="0.25">
      <c r="A336" s="5" t="s">
        <v>487</v>
      </c>
      <c r="B336" s="18" t="s">
        <v>501</v>
      </c>
      <c r="C336" s="20" t="str">
        <f t="shared" si="46"/>
        <v>14</v>
      </c>
      <c r="D336" s="20" t="str">
        <f t="shared" si="47"/>
        <v>06</v>
      </c>
      <c r="E336" s="19" t="s">
        <v>21</v>
      </c>
      <c r="F336" s="19" t="s">
        <v>22</v>
      </c>
      <c r="G336" s="4" t="str">
        <f t="shared" si="48"/>
        <v>14/06/2021</v>
      </c>
      <c r="H336" s="19" t="s">
        <v>1</v>
      </c>
      <c r="I336" s="19" t="s">
        <v>0</v>
      </c>
      <c r="J336" s="5" t="s">
        <v>507</v>
      </c>
      <c r="K336" s="5" t="s">
        <v>55</v>
      </c>
      <c r="L336" s="22" t="str">
        <f>+VLOOKUP(K336,'[2]BASE DE PROVEEDORES'!$A:$B,2,0)</f>
        <v xml:space="preserve">DISTRIBUIDORA DE LUBRICANTES Y COMBUSTIBLES S.A DE C.V </v>
      </c>
      <c r="M336" s="25">
        <f>6.43+3.22</f>
        <v>9.65</v>
      </c>
      <c r="N336" s="5" t="s">
        <v>2</v>
      </c>
      <c r="O336" s="5" t="s">
        <v>2</v>
      </c>
      <c r="P336" s="6">
        <v>76.69</v>
      </c>
      <c r="Q336" s="5" t="s">
        <v>2</v>
      </c>
      <c r="R336" s="18" t="s">
        <v>2</v>
      </c>
      <c r="S336" s="18" t="s">
        <v>2</v>
      </c>
      <c r="T336" s="12">
        <f t="shared" si="50"/>
        <v>9.9696999999999996</v>
      </c>
      <c r="U336" s="13">
        <f t="shared" si="49"/>
        <v>96.309700000000007</v>
      </c>
      <c r="V336" s="19" t="s">
        <v>3</v>
      </c>
      <c r="X336" s="3"/>
    </row>
    <row r="337" spans="1:24" x14ac:dyDescent="0.25">
      <c r="A337" s="5" t="s">
        <v>487</v>
      </c>
      <c r="B337" s="18" t="s">
        <v>508</v>
      </c>
      <c r="C337" s="20" t="str">
        <f t="shared" si="46"/>
        <v>13</v>
      </c>
      <c r="D337" s="20" t="str">
        <f t="shared" si="47"/>
        <v>06</v>
      </c>
      <c r="E337" s="19" t="s">
        <v>21</v>
      </c>
      <c r="F337" s="19" t="s">
        <v>22</v>
      </c>
      <c r="G337" s="4" t="str">
        <f t="shared" si="48"/>
        <v>13/06/2021</v>
      </c>
      <c r="H337" s="19" t="s">
        <v>1</v>
      </c>
      <c r="I337" s="19" t="s">
        <v>0</v>
      </c>
      <c r="J337" s="5" t="s">
        <v>509</v>
      </c>
      <c r="K337" s="5" t="s">
        <v>55</v>
      </c>
      <c r="L337" s="22" t="str">
        <f>+VLOOKUP(K337,'[2]BASE DE PROVEEDORES'!$A:$B,2,0)</f>
        <v xml:space="preserve">DISTRIBUIDORA DE LUBRICANTES Y COMBUSTIBLES S.A DE C.V </v>
      </c>
      <c r="M337" s="25">
        <f>16+8</f>
        <v>24</v>
      </c>
      <c r="N337" s="5" t="s">
        <v>2</v>
      </c>
      <c r="O337" s="5" t="s">
        <v>2</v>
      </c>
      <c r="P337" s="6">
        <v>190.61</v>
      </c>
      <c r="Q337" s="5" t="s">
        <v>2</v>
      </c>
      <c r="R337" s="18" t="s">
        <v>2</v>
      </c>
      <c r="S337" s="18" t="s">
        <v>2</v>
      </c>
      <c r="T337" s="12">
        <f t="shared" si="50"/>
        <v>24.779300000000003</v>
      </c>
      <c r="U337" s="13">
        <f t="shared" si="49"/>
        <v>239.38930000000002</v>
      </c>
      <c r="V337" s="19" t="s">
        <v>3</v>
      </c>
      <c r="X337" s="3"/>
    </row>
    <row r="338" spans="1:24" x14ac:dyDescent="0.25">
      <c r="A338" s="5" t="s">
        <v>487</v>
      </c>
      <c r="B338" s="18" t="s">
        <v>508</v>
      </c>
      <c r="C338" s="20" t="str">
        <f t="shared" si="46"/>
        <v>13</v>
      </c>
      <c r="D338" s="20" t="str">
        <f t="shared" si="47"/>
        <v>06</v>
      </c>
      <c r="E338" s="19" t="s">
        <v>21</v>
      </c>
      <c r="F338" s="19" t="s">
        <v>22</v>
      </c>
      <c r="G338" s="4" t="str">
        <f t="shared" si="48"/>
        <v>13/06/2021</v>
      </c>
      <c r="H338" s="19" t="s">
        <v>1</v>
      </c>
      <c r="I338" s="19" t="s">
        <v>0</v>
      </c>
      <c r="J338" s="5" t="s">
        <v>510</v>
      </c>
      <c r="K338" s="5" t="s">
        <v>55</v>
      </c>
      <c r="L338" s="22" t="str">
        <f>+VLOOKUP(K338,'[2]BASE DE PROVEEDORES'!$A:$B,2,0)</f>
        <v xml:space="preserve">DISTRIBUIDORA DE LUBRICANTES Y COMBUSTIBLES S.A DE C.V </v>
      </c>
      <c r="M338" s="25">
        <f>16.66+8.33</f>
        <v>24.990000000000002</v>
      </c>
      <c r="N338" s="5" t="s">
        <v>2</v>
      </c>
      <c r="O338" s="5" t="s">
        <v>2</v>
      </c>
      <c r="P338" s="6">
        <v>198.43</v>
      </c>
      <c r="Q338" s="5" t="s">
        <v>2</v>
      </c>
      <c r="R338" s="18" t="s">
        <v>2</v>
      </c>
      <c r="S338" s="18" t="s">
        <v>2</v>
      </c>
      <c r="T338" s="12">
        <f t="shared" si="50"/>
        <v>25.795900000000003</v>
      </c>
      <c r="U338" s="13">
        <f t="shared" si="49"/>
        <v>249.21590000000003</v>
      </c>
      <c r="V338" s="19" t="s">
        <v>3</v>
      </c>
      <c r="X338" s="3"/>
    </row>
    <row r="339" spans="1:24" x14ac:dyDescent="0.25">
      <c r="A339" s="5" t="s">
        <v>487</v>
      </c>
      <c r="B339" s="18" t="s">
        <v>511</v>
      </c>
      <c r="C339" s="20" t="str">
        <f t="shared" si="46"/>
        <v>12</v>
      </c>
      <c r="D339" s="20" t="str">
        <f t="shared" si="47"/>
        <v>06</v>
      </c>
      <c r="E339" s="19" t="s">
        <v>21</v>
      </c>
      <c r="F339" s="19" t="s">
        <v>22</v>
      </c>
      <c r="G339" s="4" t="str">
        <f t="shared" si="48"/>
        <v>12/06/2021</v>
      </c>
      <c r="H339" s="19" t="s">
        <v>1</v>
      </c>
      <c r="I339" s="19" t="s">
        <v>0</v>
      </c>
      <c r="J339" s="5" t="s">
        <v>512</v>
      </c>
      <c r="K339" s="5" t="s">
        <v>55</v>
      </c>
      <c r="L339" s="22" t="str">
        <f>+VLOOKUP(K339,'[2]BASE DE PROVEEDORES'!$A:$B,2,0)</f>
        <v xml:space="preserve">DISTRIBUIDORA DE LUBRICANTES Y COMBUSTIBLES S.A DE C.V </v>
      </c>
      <c r="M339" s="25">
        <f>7.93+3.96</f>
        <v>11.89</v>
      </c>
      <c r="N339" s="5" t="s">
        <v>2</v>
      </c>
      <c r="O339" s="5" t="s">
        <v>2</v>
      </c>
      <c r="P339" s="6">
        <v>94.52</v>
      </c>
      <c r="Q339" s="5" t="s">
        <v>2</v>
      </c>
      <c r="R339" s="18" t="s">
        <v>2</v>
      </c>
      <c r="S339" s="18" t="s">
        <v>2</v>
      </c>
      <c r="T339" s="12">
        <f t="shared" si="50"/>
        <v>12.287599999999999</v>
      </c>
      <c r="U339" s="13">
        <f t="shared" si="49"/>
        <v>118.69759999999999</v>
      </c>
      <c r="V339" s="19" t="s">
        <v>3</v>
      </c>
      <c r="X339" s="3"/>
    </row>
    <row r="340" spans="1:24" x14ac:dyDescent="0.25">
      <c r="A340" s="5" t="s">
        <v>487</v>
      </c>
      <c r="B340" s="18" t="s">
        <v>513</v>
      </c>
      <c r="C340" s="20" t="str">
        <f t="shared" si="46"/>
        <v>11</v>
      </c>
      <c r="D340" s="20" t="str">
        <f t="shared" si="47"/>
        <v>06</v>
      </c>
      <c r="E340" s="19" t="s">
        <v>21</v>
      </c>
      <c r="F340" s="19" t="s">
        <v>22</v>
      </c>
      <c r="G340" s="4" t="str">
        <f t="shared" si="48"/>
        <v>11/06/2021</v>
      </c>
      <c r="H340" s="19" t="s">
        <v>1</v>
      </c>
      <c r="I340" s="19" t="s">
        <v>0</v>
      </c>
      <c r="J340" s="5" t="s">
        <v>514</v>
      </c>
      <c r="K340" s="5" t="s">
        <v>55</v>
      </c>
      <c r="L340" s="22" t="str">
        <f>+VLOOKUP(K340,'[2]BASE DE PROVEEDORES'!$A:$B,2,0)</f>
        <v xml:space="preserve">DISTRIBUIDORA DE LUBRICANTES Y COMBUSTIBLES S.A DE C.V </v>
      </c>
      <c r="M340" s="25">
        <f>3.37+1.64</f>
        <v>5.01</v>
      </c>
      <c r="N340" s="5" t="s">
        <v>2</v>
      </c>
      <c r="O340" s="5" t="s">
        <v>2</v>
      </c>
      <c r="P340" s="6">
        <v>40.11</v>
      </c>
      <c r="Q340" s="5" t="s">
        <v>2</v>
      </c>
      <c r="R340" s="18" t="s">
        <v>2</v>
      </c>
      <c r="S340" s="18" t="s">
        <v>2</v>
      </c>
      <c r="T340" s="12">
        <f t="shared" si="50"/>
        <v>5.2142999999999997</v>
      </c>
      <c r="U340" s="13">
        <f t="shared" si="49"/>
        <v>50.334299999999999</v>
      </c>
      <c r="V340" s="19" t="s">
        <v>3</v>
      </c>
      <c r="X340" s="3"/>
    </row>
    <row r="341" spans="1:24" x14ac:dyDescent="0.25">
      <c r="A341" s="5" t="s">
        <v>487</v>
      </c>
      <c r="B341" s="18" t="s">
        <v>513</v>
      </c>
      <c r="C341" s="20" t="str">
        <f t="shared" si="46"/>
        <v>11</v>
      </c>
      <c r="D341" s="20" t="str">
        <f t="shared" si="47"/>
        <v>06</v>
      </c>
      <c r="E341" s="19" t="s">
        <v>21</v>
      </c>
      <c r="F341" s="19" t="s">
        <v>22</v>
      </c>
      <c r="G341" s="4" t="str">
        <f t="shared" si="48"/>
        <v>11/06/2021</v>
      </c>
      <c r="H341" s="19" t="s">
        <v>1</v>
      </c>
      <c r="I341" s="19" t="s">
        <v>0</v>
      </c>
      <c r="J341" s="5" t="s">
        <v>515</v>
      </c>
      <c r="K341" s="5" t="s">
        <v>55</v>
      </c>
      <c r="L341" s="22" t="str">
        <f>+VLOOKUP(K341,'[2]BASE DE PROVEEDORES'!$A:$B,2,0)</f>
        <v xml:space="preserve">DISTRIBUIDORA DE LUBRICANTES Y COMBUSTIBLES S.A DE C.V </v>
      </c>
      <c r="M341" s="25">
        <f>12.25+6.12</f>
        <v>18.37</v>
      </c>
      <c r="N341" s="5" t="s">
        <v>2</v>
      </c>
      <c r="O341" s="5" t="s">
        <v>2</v>
      </c>
      <c r="P341" s="6">
        <v>145.91</v>
      </c>
      <c r="Q341" s="5" t="s">
        <v>2</v>
      </c>
      <c r="R341" s="18" t="s">
        <v>2</v>
      </c>
      <c r="S341" s="18" t="s">
        <v>2</v>
      </c>
      <c r="T341" s="12">
        <f t="shared" si="50"/>
        <v>18.968299999999999</v>
      </c>
      <c r="U341" s="13">
        <f t="shared" si="49"/>
        <v>183.2483</v>
      </c>
      <c r="V341" s="19" t="s">
        <v>3</v>
      </c>
      <c r="X341" s="3"/>
    </row>
    <row r="342" spans="1:24" x14ac:dyDescent="0.25">
      <c r="A342" s="5" t="s">
        <v>487</v>
      </c>
      <c r="B342" s="18" t="s">
        <v>513</v>
      </c>
      <c r="C342" s="20" t="str">
        <f t="shared" si="46"/>
        <v>11</v>
      </c>
      <c r="D342" s="20" t="str">
        <f t="shared" si="47"/>
        <v>06</v>
      </c>
      <c r="E342" s="19" t="s">
        <v>21</v>
      </c>
      <c r="F342" s="19" t="s">
        <v>22</v>
      </c>
      <c r="G342" s="4" t="str">
        <f t="shared" si="48"/>
        <v>11/06/2021</v>
      </c>
      <c r="H342" s="19" t="s">
        <v>1</v>
      </c>
      <c r="I342" s="19" t="s">
        <v>0</v>
      </c>
      <c r="J342" s="5" t="s">
        <v>516</v>
      </c>
      <c r="K342" s="5" t="s">
        <v>55</v>
      </c>
      <c r="L342" s="22" t="str">
        <f>+VLOOKUP(K342,'[2]BASE DE PROVEEDORES'!$A:$B,2,0)</f>
        <v xml:space="preserve">DISTRIBUIDORA DE LUBRICANTES Y COMBUSTIBLES S.A DE C.V </v>
      </c>
      <c r="M342" s="25">
        <f>24.22+12.11</f>
        <v>36.33</v>
      </c>
      <c r="N342" s="5" t="s">
        <v>2</v>
      </c>
      <c r="O342" s="5" t="s">
        <v>2</v>
      </c>
      <c r="P342" s="6">
        <v>288.58999999999997</v>
      </c>
      <c r="Q342" s="5" t="s">
        <v>2</v>
      </c>
      <c r="R342" s="18" t="s">
        <v>2</v>
      </c>
      <c r="S342" s="18" t="s">
        <v>2</v>
      </c>
      <c r="T342" s="12">
        <f t="shared" si="50"/>
        <v>37.5167</v>
      </c>
      <c r="U342" s="13">
        <f t="shared" si="49"/>
        <v>362.43669999999997</v>
      </c>
      <c r="V342" s="19" t="s">
        <v>3</v>
      </c>
      <c r="X342" s="3"/>
    </row>
    <row r="343" spans="1:24" x14ac:dyDescent="0.25">
      <c r="A343" s="5" t="s">
        <v>487</v>
      </c>
      <c r="B343" s="18" t="s">
        <v>517</v>
      </c>
      <c r="C343" s="20" t="str">
        <f t="shared" si="46"/>
        <v>10</v>
      </c>
      <c r="D343" s="20" t="str">
        <f t="shared" si="47"/>
        <v>06</v>
      </c>
      <c r="E343" s="19" t="s">
        <v>21</v>
      </c>
      <c r="F343" s="19" t="s">
        <v>22</v>
      </c>
      <c r="G343" s="4" t="str">
        <f t="shared" si="48"/>
        <v>10/06/2021</v>
      </c>
      <c r="H343" s="19" t="s">
        <v>1</v>
      </c>
      <c r="I343" s="19" t="s">
        <v>0</v>
      </c>
      <c r="J343" s="5" t="s">
        <v>518</v>
      </c>
      <c r="K343" s="5" t="s">
        <v>55</v>
      </c>
      <c r="L343" s="22" t="str">
        <f>+VLOOKUP(K343,'[2]BASE DE PROVEEDORES'!$A:$B,2,0)</f>
        <v xml:space="preserve">DISTRIBUIDORA DE LUBRICANTES Y COMBUSTIBLES S.A DE C.V </v>
      </c>
      <c r="M343" s="25">
        <f>4.54+2.27</f>
        <v>6.8100000000000005</v>
      </c>
      <c r="N343" s="5" t="s">
        <v>2</v>
      </c>
      <c r="O343" s="5" t="s">
        <v>2</v>
      </c>
      <c r="P343" s="6">
        <v>54.02</v>
      </c>
      <c r="Q343" s="5" t="s">
        <v>2</v>
      </c>
      <c r="R343" s="18" t="s">
        <v>2</v>
      </c>
      <c r="S343" s="18" t="s">
        <v>2</v>
      </c>
      <c r="T343" s="12">
        <f t="shared" si="50"/>
        <v>7.0226000000000006</v>
      </c>
      <c r="U343" s="13">
        <f t="shared" si="49"/>
        <v>67.85260000000001</v>
      </c>
      <c r="V343" s="19" t="s">
        <v>3</v>
      </c>
      <c r="X343" s="3"/>
    </row>
    <row r="344" spans="1:24" x14ac:dyDescent="0.25">
      <c r="A344" s="5" t="s">
        <v>487</v>
      </c>
      <c r="B344" s="18" t="s">
        <v>517</v>
      </c>
      <c r="C344" s="20" t="str">
        <f t="shared" si="46"/>
        <v>10</v>
      </c>
      <c r="D344" s="20" t="str">
        <f t="shared" si="47"/>
        <v>06</v>
      </c>
      <c r="E344" s="19" t="s">
        <v>21</v>
      </c>
      <c r="F344" s="19" t="s">
        <v>22</v>
      </c>
      <c r="G344" s="4" t="str">
        <f t="shared" si="48"/>
        <v>10/06/2021</v>
      </c>
      <c r="H344" s="19" t="s">
        <v>1</v>
      </c>
      <c r="I344" s="19" t="s">
        <v>0</v>
      </c>
      <c r="J344" s="5" t="s">
        <v>519</v>
      </c>
      <c r="K344" s="5" t="s">
        <v>55</v>
      </c>
      <c r="L344" s="22" t="str">
        <f>+VLOOKUP(K344,'[2]BASE DE PROVEEDORES'!$A:$B,2,0)</f>
        <v xml:space="preserve">DISTRIBUIDORA DE LUBRICANTES Y COMBUSTIBLES S.A DE C.V </v>
      </c>
      <c r="M344" s="25">
        <f>3.74+1.87</f>
        <v>5.61</v>
      </c>
      <c r="N344" s="5" t="s">
        <v>2</v>
      </c>
      <c r="O344" s="5" t="s">
        <v>2</v>
      </c>
      <c r="P344" s="6">
        <v>44.62</v>
      </c>
      <c r="Q344" s="5" t="s">
        <v>2</v>
      </c>
      <c r="R344" s="18" t="s">
        <v>2</v>
      </c>
      <c r="S344" s="18" t="s">
        <v>2</v>
      </c>
      <c r="T344" s="12">
        <f t="shared" si="50"/>
        <v>5.8006000000000002</v>
      </c>
      <c r="U344" s="13">
        <f t="shared" si="49"/>
        <v>56.0306</v>
      </c>
      <c r="V344" s="19" t="s">
        <v>3</v>
      </c>
      <c r="X344" s="3"/>
    </row>
    <row r="345" spans="1:24" x14ac:dyDescent="0.25">
      <c r="A345" s="5" t="s">
        <v>487</v>
      </c>
      <c r="B345" s="18" t="s">
        <v>490</v>
      </c>
      <c r="C345" s="20" t="str">
        <f t="shared" si="46"/>
        <v>18</v>
      </c>
      <c r="D345" s="20" t="str">
        <f t="shared" si="47"/>
        <v>06</v>
      </c>
      <c r="E345" s="19" t="s">
        <v>21</v>
      </c>
      <c r="F345" s="19" t="s">
        <v>22</v>
      </c>
      <c r="G345" s="4" t="str">
        <f t="shared" si="48"/>
        <v>18/06/2021</v>
      </c>
      <c r="H345" s="19" t="s">
        <v>1</v>
      </c>
      <c r="I345" s="19" t="s">
        <v>0</v>
      </c>
      <c r="J345" s="5" t="s">
        <v>520</v>
      </c>
      <c r="K345" s="5" t="s">
        <v>55</v>
      </c>
      <c r="L345" s="22" t="str">
        <f>+VLOOKUP(K345,'[2]BASE DE PROVEEDORES'!$A:$B,2,0)</f>
        <v xml:space="preserve">DISTRIBUIDORA DE LUBRICANTES Y COMBUSTIBLES S.A DE C.V </v>
      </c>
      <c r="M345" s="25">
        <f>14.35+7.18</f>
        <v>21.53</v>
      </c>
      <c r="N345" s="5" t="s">
        <v>2</v>
      </c>
      <c r="O345" s="5" t="s">
        <v>2</v>
      </c>
      <c r="P345" s="6">
        <v>174.02</v>
      </c>
      <c r="Q345" s="5" t="s">
        <v>2</v>
      </c>
      <c r="R345" s="18" t="s">
        <v>2</v>
      </c>
      <c r="S345" s="18" t="s">
        <v>2</v>
      </c>
      <c r="T345" s="12">
        <f t="shared" si="50"/>
        <v>22.622600000000002</v>
      </c>
      <c r="U345" s="13">
        <f t="shared" si="49"/>
        <v>218.17260000000002</v>
      </c>
      <c r="V345" s="19" t="s">
        <v>3</v>
      </c>
      <c r="X345" s="3"/>
    </row>
    <row r="346" spans="1:24" x14ac:dyDescent="0.25">
      <c r="A346" s="5" t="s">
        <v>487</v>
      </c>
      <c r="B346" s="18" t="s">
        <v>521</v>
      </c>
      <c r="C346" s="20" t="str">
        <f t="shared" si="46"/>
        <v>17</v>
      </c>
      <c r="D346" s="20" t="str">
        <f t="shared" si="47"/>
        <v>06</v>
      </c>
      <c r="E346" s="19" t="s">
        <v>21</v>
      </c>
      <c r="F346" s="19" t="s">
        <v>22</v>
      </c>
      <c r="G346" s="4" t="str">
        <f t="shared" si="48"/>
        <v>17/06/2021</v>
      </c>
      <c r="H346" s="19" t="s">
        <v>1</v>
      </c>
      <c r="I346" s="19" t="s">
        <v>0</v>
      </c>
      <c r="J346" s="5" t="s">
        <v>522</v>
      </c>
      <c r="K346" s="5" t="s">
        <v>55</v>
      </c>
      <c r="L346" s="22" t="str">
        <f>+VLOOKUP(K346,'[2]BASE DE PROVEEDORES'!$A:$B,2,0)</f>
        <v xml:space="preserve">DISTRIBUIDORA DE LUBRICANTES Y COMBUSTIBLES S.A DE C.V </v>
      </c>
      <c r="M346" s="25">
        <f>16.09+8.05</f>
        <v>24.14</v>
      </c>
      <c r="N346" s="5" t="s">
        <v>2</v>
      </c>
      <c r="O346" s="5" t="s">
        <v>2</v>
      </c>
      <c r="P346" s="6">
        <v>195.11</v>
      </c>
      <c r="Q346" s="5" t="s">
        <v>2</v>
      </c>
      <c r="R346" s="18" t="s">
        <v>2</v>
      </c>
      <c r="S346" s="18" t="s">
        <v>2</v>
      </c>
      <c r="T346" s="12">
        <f t="shared" si="50"/>
        <v>25.364300000000004</v>
      </c>
      <c r="U346" s="13">
        <f t="shared" si="49"/>
        <v>244.61430000000001</v>
      </c>
      <c r="V346" s="19" t="s">
        <v>3</v>
      </c>
      <c r="X346" s="3"/>
    </row>
    <row r="347" spans="1:24" x14ac:dyDescent="0.25">
      <c r="A347" s="5" t="s">
        <v>487</v>
      </c>
      <c r="B347" s="18" t="s">
        <v>523</v>
      </c>
      <c r="C347" s="20" t="str">
        <f t="shared" si="46"/>
        <v>16</v>
      </c>
      <c r="D347" s="20" t="str">
        <f t="shared" si="47"/>
        <v>06</v>
      </c>
      <c r="E347" s="19" t="s">
        <v>21</v>
      </c>
      <c r="F347" s="19" t="s">
        <v>22</v>
      </c>
      <c r="G347" s="4" t="str">
        <f t="shared" si="48"/>
        <v>16/06/2021</v>
      </c>
      <c r="H347" s="19" t="s">
        <v>1</v>
      </c>
      <c r="I347" s="19" t="s">
        <v>0</v>
      </c>
      <c r="J347" s="5" t="s">
        <v>524</v>
      </c>
      <c r="K347" s="5" t="s">
        <v>55</v>
      </c>
      <c r="L347" s="22" t="str">
        <f>+VLOOKUP(K347,'[2]BASE DE PROVEEDORES'!$A:$B,2,0)</f>
        <v xml:space="preserve">DISTRIBUIDORA DE LUBRICANTES Y COMBUSTIBLES S.A DE C.V </v>
      </c>
      <c r="M347" s="25">
        <f>3.9+1.95</f>
        <v>5.85</v>
      </c>
      <c r="N347" s="5" t="s">
        <v>2</v>
      </c>
      <c r="O347" s="5" t="s">
        <v>2</v>
      </c>
      <c r="P347" s="6">
        <v>47.32</v>
      </c>
      <c r="Q347" s="5" t="s">
        <v>2</v>
      </c>
      <c r="R347" s="18" t="s">
        <v>2</v>
      </c>
      <c r="S347" s="18" t="s">
        <v>2</v>
      </c>
      <c r="T347" s="12">
        <f t="shared" si="50"/>
        <v>6.1516000000000002</v>
      </c>
      <c r="U347" s="13">
        <f t="shared" si="49"/>
        <v>59.321600000000004</v>
      </c>
      <c r="V347" s="19" t="s">
        <v>3</v>
      </c>
      <c r="X347" s="3"/>
    </row>
    <row r="348" spans="1:24" x14ac:dyDescent="0.25">
      <c r="A348" s="5" t="s">
        <v>487</v>
      </c>
      <c r="B348" s="18" t="s">
        <v>523</v>
      </c>
      <c r="C348" s="20" t="str">
        <f t="shared" si="46"/>
        <v>16</v>
      </c>
      <c r="D348" s="20" t="str">
        <f t="shared" si="47"/>
        <v>06</v>
      </c>
      <c r="E348" s="19" t="s">
        <v>21</v>
      </c>
      <c r="F348" s="19" t="s">
        <v>22</v>
      </c>
      <c r="G348" s="4" t="str">
        <f t="shared" si="48"/>
        <v>16/06/2021</v>
      </c>
      <c r="H348" s="19" t="s">
        <v>1</v>
      </c>
      <c r="I348" s="19" t="s">
        <v>0</v>
      </c>
      <c r="J348" s="5" t="s">
        <v>525</v>
      </c>
      <c r="K348" s="5" t="s">
        <v>55</v>
      </c>
      <c r="L348" s="22" t="str">
        <f>+VLOOKUP(K348,'[2]BASE DE PROVEEDORES'!$A:$B,2,0)</f>
        <v xml:space="preserve">DISTRIBUIDORA DE LUBRICANTES Y COMBUSTIBLES S.A DE C.V </v>
      </c>
      <c r="M348" s="25">
        <f>3.03+1.51</f>
        <v>4.54</v>
      </c>
      <c r="N348" s="5" t="s">
        <v>2</v>
      </c>
      <c r="O348" s="5" t="s">
        <v>2</v>
      </c>
      <c r="P348" s="6">
        <v>36.68</v>
      </c>
      <c r="Q348" s="5" t="s">
        <v>2</v>
      </c>
      <c r="R348" s="18" t="s">
        <v>2</v>
      </c>
      <c r="S348" s="18" t="s">
        <v>2</v>
      </c>
      <c r="T348" s="12">
        <f t="shared" si="50"/>
        <v>4.7683999999999997</v>
      </c>
      <c r="U348" s="13">
        <f t="shared" si="49"/>
        <v>45.988399999999999</v>
      </c>
      <c r="V348" s="19" t="s">
        <v>3</v>
      </c>
      <c r="X348" s="3"/>
    </row>
    <row r="349" spans="1:24" x14ac:dyDescent="0.25">
      <c r="A349" s="5" t="s">
        <v>487</v>
      </c>
      <c r="B349" s="18" t="s">
        <v>526</v>
      </c>
      <c r="C349" s="20" t="str">
        <f t="shared" si="46"/>
        <v>19</v>
      </c>
      <c r="D349" s="20" t="str">
        <f t="shared" si="47"/>
        <v>06</v>
      </c>
      <c r="E349" s="19" t="s">
        <v>21</v>
      </c>
      <c r="F349" s="19" t="s">
        <v>22</v>
      </c>
      <c r="G349" s="4" t="str">
        <f t="shared" si="48"/>
        <v>19/06/2021</v>
      </c>
      <c r="H349" s="19" t="s">
        <v>1</v>
      </c>
      <c r="I349" s="19" t="s">
        <v>0</v>
      </c>
      <c r="J349" s="5" t="s">
        <v>527</v>
      </c>
      <c r="K349" s="5" t="s">
        <v>55</v>
      </c>
      <c r="L349" s="22" t="str">
        <f>+VLOOKUP(K349,'[2]BASE DE PROVEEDORES'!$A:$B,2,0)</f>
        <v xml:space="preserve">DISTRIBUIDORA DE LUBRICANTES Y COMBUSTIBLES S.A DE C.V </v>
      </c>
      <c r="M349" s="25">
        <f>7.29+3.65</f>
        <v>10.94</v>
      </c>
      <c r="N349" s="5" t="s">
        <v>2</v>
      </c>
      <c r="O349" s="5" t="s">
        <v>2</v>
      </c>
      <c r="P349" s="6">
        <v>88.45</v>
      </c>
      <c r="Q349" s="5" t="s">
        <v>2</v>
      </c>
      <c r="R349" s="18" t="s">
        <v>2</v>
      </c>
      <c r="S349" s="18" t="s">
        <v>2</v>
      </c>
      <c r="T349" s="12">
        <f t="shared" si="50"/>
        <v>11.4985</v>
      </c>
      <c r="U349" s="13">
        <f t="shared" si="49"/>
        <v>110.88849999999999</v>
      </c>
      <c r="V349" s="19" t="s">
        <v>3</v>
      </c>
      <c r="X349" s="3"/>
    </row>
    <row r="350" spans="1:24" x14ac:dyDescent="0.25">
      <c r="A350" s="5" t="s">
        <v>487</v>
      </c>
      <c r="B350" s="18" t="s">
        <v>517</v>
      </c>
      <c r="C350" s="20" t="str">
        <f t="shared" si="46"/>
        <v>10</v>
      </c>
      <c r="D350" s="20" t="str">
        <f t="shared" si="47"/>
        <v>06</v>
      </c>
      <c r="E350" s="19" t="s">
        <v>21</v>
      </c>
      <c r="F350" s="19" t="s">
        <v>22</v>
      </c>
      <c r="G350" s="4" t="str">
        <f t="shared" si="48"/>
        <v>10/06/2021</v>
      </c>
      <c r="H350" s="19" t="s">
        <v>1</v>
      </c>
      <c r="I350" s="19" t="s">
        <v>0</v>
      </c>
      <c r="J350" s="5" t="s">
        <v>528</v>
      </c>
      <c r="K350" s="5" t="s">
        <v>55</v>
      </c>
      <c r="L350" s="22" t="str">
        <f>+VLOOKUP(K350,'[2]BASE DE PROVEEDORES'!$A:$B,2,0)</f>
        <v xml:space="preserve">DISTRIBUIDORA DE LUBRICANTES Y COMBUSTIBLES S.A DE C.V </v>
      </c>
      <c r="M350" s="25">
        <f>23.47+11.75</f>
        <v>35.22</v>
      </c>
      <c r="N350" s="5" t="s">
        <v>2</v>
      </c>
      <c r="O350" s="5" t="s">
        <v>2</v>
      </c>
      <c r="P350" s="6">
        <v>279.64999999999998</v>
      </c>
      <c r="Q350" s="5" t="s">
        <v>2</v>
      </c>
      <c r="R350" s="18" t="s">
        <v>2</v>
      </c>
      <c r="S350" s="18" t="s">
        <v>2</v>
      </c>
      <c r="T350" s="12">
        <f t="shared" si="50"/>
        <v>36.354500000000002</v>
      </c>
      <c r="U350" s="13">
        <f t="shared" si="49"/>
        <v>351.22450000000003</v>
      </c>
      <c r="V350" s="19" t="s">
        <v>3</v>
      </c>
      <c r="X350" s="3"/>
    </row>
    <row r="351" spans="1:24" x14ac:dyDescent="0.25">
      <c r="A351" s="5" t="s">
        <v>487</v>
      </c>
      <c r="B351" s="18" t="s">
        <v>517</v>
      </c>
      <c r="C351" s="20" t="str">
        <f t="shared" si="46"/>
        <v>10</v>
      </c>
      <c r="D351" s="20" t="str">
        <f t="shared" si="47"/>
        <v>06</v>
      </c>
      <c r="E351" s="19" t="s">
        <v>21</v>
      </c>
      <c r="F351" s="19" t="s">
        <v>22</v>
      </c>
      <c r="G351" s="4" t="str">
        <f t="shared" si="48"/>
        <v>10/06/2021</v>
      </c>
      <c r="H351" s="19" t="s">
        <v>1</v>
      </c>
      <c r="I351" s="19" t="s">
        <v>0</v>
      </c>
      <c r="J351" s="5" t="s">
        <v>529</v>
      </c>
      <c r="K351" s="5" t="s">
        <v>55</v>
      </c>
      <c r="L351" s="22" t="str">
        <f>+VLOOKUP(K351,'[2]BASE DE PROVEEDORES'!$A:$B,2,0)</f>
        <v xml:space="preserve">DISTRIBUIDORA DE LUBRICANTES Y COMBUSTIBLES S.A DE C.V </v>
      </c>
      <c r="M351" s="25">
        <f>5.28+2.64</f>
        <v>7.92</v>
      </c>
      <c r="N351" s="5" t="s">
        <v>2</v>
      </c>
      <c r="O351" s="5" t="s">
        <v>2</v>
      </c>
      <c r="P351" s="6">
        <v>62.88</v>
      </c>
      <c r="Q351" s="5" t="s">
        <v>2</v>
      </c>
      <c r="R351" s="18" t="s">
        <v>2</v>
      </c>
      <c r="S351" s="18" t="s">
        <v>2</v>
      </c>
      <c r="T351" s="12">
        <f t="shared" si="50"/>
        <v>8.1744000000000003</v>
      </c>
      <c r="U351" s="13">
        <f t="shared" si="49"/>
        <v>78.974400000000003</v>
      </c>
      <c r="V351" s="19" t="s">
        <v>3</v>
      </c>
      <c r="X351" s="3"/>
    </row>
    <row r="352" spans="1:24" x14ac:dyDescent="0.25">
      <c r="A352" s="5" t="s">
        <v>487</v>
      </c>
      <c r="B352" s="18" t="s">
        <v>517</v>
      </c>
      <c r="C352" s="20" t="str">
        <f t="shared" si="46"/>
        <v>10</v>
      </c>
      <c r="D352" s="20" t="str">
        <f t="shared" si="47"/>
        <v>06</v>
      </c>
      <c r="E352" s="19" t="s">
        <v>21</v>
      </c>
      <c r="F352" s="19" t="s">
        <v>22</v>
      </c>
      <c r="G352" s="4" t="str">
        <f t="shared" si="48"/>
        <v>10/06/2021</v>
      </c>
      <c r="H352" s="19" t="s">
        <v>1</v>
      </c>
      <c r="I352" s="19" t="s">
        <v>0</v>
      </c>
      <c r="J352" s="5" t="s">
        <v>530</v>
      </c>
      <c r="K352" s="5" t="s">
        <v>55</v>
      </c>
      <c r="L352" s="22" t="str">
        <f>+VLOOKUP(K352,'[2]BASE DE PROVEEDORES'!$A:$B,2,0)</f>
        <v xml:space="preserve">DISTRIBUIDORA DE LUBRICANTES Y COMBUSTIBLES S.A DE C.V </v>
      </c>
      <c r="M352" s="25">
        <f>28.47+14.23</f>
        <v>42.7</v>
      </c>
      <c r="N352" s="5" t="s">
        <v>2</v>
      </c>
      <c r="O352" s="5" t="s">
        <v>2</v>
      </c>
      <c r="P352" s="6">
        <v>339.19</v>
      </c>
      <c r="Q352" s="5" t="s">
        <v>2</v>
      </c>
      <c r="R352" s="18" t="s">
        <v>2</v>
      </c>
      <c r="S352" s="18" t="s">
        <v>2</v>
      </c>
      <c r="T352" s="12">
        <f t="shared" si="50"/>
        <v>44.094700000000003</v>
      </c>
      <c r="U352" s="13">
        <f t="shared" si="49"/>
        <v>425.98469999999998</v>
      </c>
      <c r="V352" s="19" t="s">
        <v>3</v>
      </c>
      <c r="X352" s="3"/>
    </row>
    <row r="353" spans="1:24" x14ac:dyDescent="0.25">
      <c r="A353" s="5" t="s">
        <v>487</v>
      </c>
      <c r="B353" s="18" t="s">
        <v>532</v>
      </c>
      <c r="C353" s="20" t="str">
        <f t="shared" si="46"/>
        <v>09</v>
      </c>
      <c r="D353" s="20" t="str">
        <f t="shared" si="47"/>
        <v>06</v>
      </c>
      <c r="E353" s="19" t="s">
        <v>21</v>
      </c>
      <c r="F353" s="19" t="s">
        <v>22</v>
      </c>
      <c r="G353" s="4" t="str">
        <f t="shared" si="48"/>
        <v>09/06/2021</v>
      </c>
      <c r="H353" s="19" t="s">
        <v>1</v>
      </c>
      <c r="I353" s="19" t="s">
        <v>0</v>
      </c>
      <c r="J353" s="5" t="s">
        <v>531</v>
      </c>
      <c r="K353" s="5" t="s">
        <v>55</v>
      </c>
      <c r="L353" s="22" t="str">
        <f>+VLOOKUP(K353,'[2]BASE DE PROVEEDORES'!$A:$B,2,0)</f>
        <v xml:space="preserve">DISTRIBUIDORA DE LUBRICANTES Y COMBUSTIBLES S.A DE C.V </v>
      </c>
      <c r="M353" s="25">
        <f>5.15+2.57</f>
        <v>7.7200000000000006</v>
      </c>
      <c r="N353" s="5" t="s">
        <v>2</v>
      </c>
      <c r="O353" s="5" t="s">
        <v>2</v>
      </c>
      <c r="P353" s="6">
        <v>61.29</v>
      </c>
      <c r="Q353" s="5" t="s">
        <v>2</v>
      </c>
      <c r="R353" s="18" t="s">
        <v>2</v>
      </c>
      <c r="S353" s="18" t="s">
        <v>2</v>
      </c>
      <c r="T353" s="12">
        <f t="shared" si="50"/>
        <v>7.9676999999999998</v>
      </c>
      <c r="U353" s="13">
        <f t="shared" si="49"/>
        <v>76.977699999999999</v>
      </c>
      <c r="V353" s="19" t="s">
        <v>3</v>
      </c>
      <c r="X353" s="3"/>
    </row>
    <row r="354" spans="1:24" x14ac:dyDescent="0.25">
      <c r="A354" s="5" t="s">
        <v>487</v>
      </c>
      <c r="B354" s="18" t="s">
        <v>533</v>
      </c>
      <c r="C354" s="20" t="str">
        <f t="shared" si="46"/>
        <v>08</v>
      </c>
      <c r="D354" s="20" t="str">
        <f t="shared" si="47"/>
        <v>06</v>
      </c>
      <c r="E354" s="19" t="s">
        <v>21</v>
      </c>
      <c r="F354" s="19" t="s">
        <v>22</v>
      </c>
      <c r="G354" s="4" t="str">
        <f t="shared" si="48"/>
        <v>08/06/2021</v>
      </c>
      <c r="H354" s="19" t="s">
        <v>1</v>
      </c>
      <c r="I354" s="19" t="s">
        <v>0</v>
      </c>
      <c r="J354" s="5" t="s">
        <v>534</v>
      </c>
      <c r="K354" s="5" t="s">
        <v>55</v>
      </c>
      <c r="L354" s="22" t="str">
        <f>+VLOOKUP(K354,'[2]BASE DE PROVEEDORES'!$A:$B,2,0)</f>
        <v xml:space="preserve">DISTRIBUIDORA DE LUBRICANTES Y COMBUSTIBLES S.A DE C.V </v>
      </c>
      <c r="M354" s="25">
        <f>3.76+1.88</f>
        <v>5.64</v>
      </c>
      <c r="N354" s="5" t="s">
        <v>2</v>
      </c>
      <c r="O354" s="5" t="s">
        <v>2</v>
      </c>
      <c r="P354" s="6">
        <v>44.74</v>
      </c>
      <c r="Q354" s="5" t="s">
        <v>2</v>
      </c>
      <c r="R354" s="18" t="s">
        <v>2</v>
      </c>
      <c r="S354" s="18" t="s">
        <v>2</v>
      </c>
      <c r="T354" s="12">
        <f t="shared" si="50"/>
        <v>5.8162000000000003</v>
      </c>
      <c r="U354" s="13">
        <f t="shared" si="49"/>
        <v>56.196200000000005</v>
      </c>
      <c r="V354" s="19" t="s">
        <v>3</v>
      </c>
      <c r="X354" s="3"/>
    </row>
    <row r="355" spans="1:24" x14ac:dyDescent="0.25">
      <c r="A355" s="5" t="s">
        <v>487</v>
      </c>
      <c r="B355" s="18" t="s">
        <v>488</v>
      </c>
      <c r="C355" s="20" t="str">
        <f t="shared" si="46"/>
        <v>07</v>
      </c>
      <c r="D355" s="20" t="str">
        <f t="shared" si="47"/>
        <v>06</v>
      </c>
      <c r="E355" s="19" t="s">
        <v>21</v>
      </c>
      <c r="F355" s="19" t="s">
        <v>22</v>
      </c>
      <c r="G355" s="4" t="str">
        <f t="shared" si="48"/>
        <v>07/06/2021</v>
      </c>
      <c r="H355" s="19" t="s">
        <v>1</v>
      </c>
      <c r="I355" s="19" t="s">
        <v>0</v>
      </c>
      <c r="J355" s="5" t="s">
        <v>535</v>
      </c>
      <c r="K355" s="5" t="s">
        <v>55</v>
      </c>
      <c r="L355" s="22" t="str">
        <f>+VLOOKUP(K355,'[2]BASE DE PROVEEDORES'!$A:$B,2,0)</f>
        <v xml:space="preserve">DISTRIBUIDORA DE LUBRICANTES Y COMBUSTIBLES S.A DE C.V </v>
      </c>
      <c r="M355" s="25">
        <f>2.91+1.45</f>
        <v>4.3600000000000003</v>
      </c>
      <c r="N355" s="5" t="s">
        <v>2</v>
      </c>
      <c r="O355" s="5" t="s">
        <v>2</v>
      </c>
      <c r="P355" s="6">
        <v>34.659999999999997</v>
      </c>
      <c r="Q355" s="5" t="s">
        <v>2</v>
      </c>
      <c r="R355" s="18" t="s">
        <v>2</v>
      </c>
      <c r="S355" s="18" t="s">
        <v>2</v>
      </c>
      <c r="T355" s="12">
        <f t="shared" si="50"/>
        <v>4.5057999999999998</v>
      </c>
      <c r="U355" s="13">
        <f t="shared" si="49"/>
        <v>43.525799999999997</v>
      </c>
      <c r="V355" s="19" t="s">
        <v>3</v>
      </c>
      <c r="X355" s="3"/>
    </row>
    <row r="356" spans="1:24" x14ac:dyDescent="0.25">
      <c r="A356" s="5" t="s">
        <v>487</v>
      </c>
      <c r="B356" s="18" t="s">
        <v>488</v>
      </c>
      <c r="C356" s="20" t="str">
        <f t="shared" si="46"/>
        <v>07</v>
      </c>
      <c r="D356" s="20" t="str">
        <f t="shared" si="47"/>
        <v>06</v>
      </c>
      <c r="E356" s="19" t="s">
        <v>21</v>
      </c>
      <c r="F356" s="19" t="s">
        <v>22</v>
      </c>
      <c r="G356" s="4" t="str">
        <f t="shared" si="48"/>
        <v>07/06/2021</v>
      </c>
      <c r="H356" s="19" t="s">
        <v>1</v>
      </c>
      <c r="I356" s="19" t="s">
        <v>0</v>
      </c>
      <c r="J356" s="5" t="s">
        <v>536</v>
      </c>
      <c r="K356" s="5" t="s">
        <v>55</v>
      </c>
      <c r="L356" s="22" t="str">
        <f>+VLOOKUP(K356,'[2]BASE DE PROVEEDORES'!$A:$B,2,0)</f>
        <v xml:space="preserve">DISTRIBUIDORA DE LUBRICANTES Y COMBUSTIBLES S.A DE C.V </v>
      </c>
      <c r="M356" s="25">
        <f>9.43+4.72</f>
        <v>14.149999999999999</v>
      </c>
      <c r="N356" s="5" t="s">
        <v>2</v>
      </c>
      <c r="O356" s="5" t="s">
        <v>2</v>
      </c>
      <c r="P356" s="6">
        <v>112.36</v>
      </c>
      <c r="Q356" s="5" t="s">
        <v>2</v>
      </c>
      <c r="R356" s="18" t="s">
        <v>2</v>
      </c>
      <c r="S356" s="18" t="s">
        <v>2</v>
      </c>
      <c r="T356" s="12">
        <f t="shared" si="50"/>
        <v>14.6068</v>
      </c>
      <c r="U356" s="13">
        <f t="shared" si="49"/>
        <v>141.11679999999998</v>
      </c>
      <c r="V356" s="19" t="s">
        <v>3</v>
      </c>
      <c r="X356" s="3"/>
    </row>
    <row r="357" spans="1:24" x14ac:dyDescent="0.25">
      <c r="A357" s="5" t="s">
        <v>487</v>
      </c>
      <c r="B357" s="18" t="s">
        <v>498</v>
      </c>
      <c r="C357" s="20" t="str">
        <f t="shared" si="46"/>
        <v>24</v>
      </c>
      <c r="D357" s="20" t="str">
        <f t="shared" si="47"/>
        <v>06</v>
      </c>
      <c r="E357" s="19" t="s">
        <v>21</v>
      </c>
      <c r="F357" s="19" t="s">
        <v>22</v>
      </c>
      <c r="G357" s="4" t="str">
        <f t="shared" si="48"/>
        <v>24/06/2021</v>
      </c>
      <c r="H357" s="19" t="s">
        <v>1</v>
      </c>
      <c r="I357" s="19" t="s">
        <v>0</v>
      </c>
      <c r="J357" s="5" t="s">
        <v>537</v>
      </c>
      <c r="K357" s="5" t="s">
        <v>55</v>
      </c>
      <c r="L357" s="22" t="str">
        <f>+VLOOKUP(K357,'[2]BASE DE PROVEEDORES'!$A:$B,2,0)</f>
        <v xml:space="preserve">DISTRIBUIDORA DE LUBRICANTES Y COMBUSTIBLES S.A DE C.V </v>
      </c>
      <c r="M357" s="25">
        <v>1.5</v>
      </c>
      <c r="N357" s="5" t="s">
        <v>2</v>
      </c>
      <c r="O357" s="5" t="s">
        <v>2</v>
      </c>
      <c r="P357" s="6">
        <v>12.13</v>
      </c>
      <c r="Q357" s="5" t="s">
        <v>2</v>
      </c>
      <c r="R357" s="18" t="s">
        <v>2</v>
      </c>
      <c r="S357" s="18" t="s">
        <v>2</v>
      </c>
      <c r="T357" s="12">
        <f t="shared" si="50"/>
        <v>1.5769000000000002</v>
      </c>
      <c r="U357" s="13">
        <f t="shared" si="49"/>
        <v>15.206900000000001</v>
      </c>
      <c r="V357" s="19" t="s">
        <v>3</v>
      </c>
      <c r="X357" s="3"/>
    </row>
    <row r="358" spans="1:24" x14ac:dyDescent="0.25">
      <c r="A358" s="5" t="s">
        <v>487</v>
      </c>
      <c r="B358" s="18" t="s">
        <v>538</v>
      </c>
      <c r="C358" s="20" t="str">
        <f t="shared" si="46"/>
        <v>26</v>
      </c>
      <c r="D358" s="20" t="str">
        <f t="shared" si="47"/>
        <v>06</v>
      </c>
      <c r="E358" s="19" t="s">
        <v>21</v>
      </c>
      <c r="F358" s="19" t="s">
        <v>22</v>
      </c>
      <c r="G358" s="4" t="str">
        <f t="shared" si="48"/>
        <v>26/06/2021</v>
      </c>
      <c r="H358" s="19" t="s">
        <v>1</v>
      </c>
      <c r="I358" s="19" t="s">
        <v>0</v>
      </c>
      <c r="J358" s="5" t="s">
        <v>539</v>
      </c>
      <c r="K358" s="5" t="s">
        <v>55</v>
      </c>
      <c r="L358" s="22" t="str">
        <f>+VLOOKUP(K358,'[2]BASE DE PROVEEDORES'!$A:$B,2,0)</f>
        <v xml:space="preserve">DISTRIBUIDORA DE LUBRICANTES Y COMBUSTIBLES S.A DE C.V </v>
      </c>
      <c r="M358" s="25">
        <f>3.4+1.7</f>
        <v>5.0999999999999996</v>
      </c>
      <c r="N358" s="5" t="s">
        <v>2</v>
      </c>
      <c r="O358" s="5" t="s">
        <v>2</v>
      </c>
      <c r="P358" s="6">
        <v>41.24</v>
      </c>
      <c r="Q358" s="5" t="s">
        <v>2</v>
      </c>
      <c r="R358" s="18" t="s">
        <v>2</v>
      </c>
      <c r="S358" s="18" t="s">
        <v>2</v>
      </c>
      <c r="T358" s="12">
        <f t="shared" si="50"/>
        <v>5.3612000000000002</v>
      </c>
      <c r="U358" s="13">
        <f t="shared" si="49"/>
        <v>51.7012</v>
      </c>
      <c r="V358" s="19" t="s">
        <v>3</v>
      </c>
      <c r="X358" s="3"/>
    </row>
    <row r="359" spans="1:24" x14ac:dyDescent="0.25">
      <c r="A359" s="5" t="s">
        <v>487</v>
      </c>
      <c r="B359" s="18" t="s">
        <v>540</v>
      </c>
      <c r="C359" s="20" t="str">
        <f t="shared" si="46"/>
        <v>28</v>
      </c>
      <c r="D359" s="20" t="str">
        <f t="shared" si="47"/>
        <v>06</v>
      </c>
      <c r="E359" s="19" t="s">
        <v>21</v>
      </c>
      <c r="F359" s="19" t="s">
        <v>22</v>
      </c>
      <c r="G359" s="4" t="str">
        <f t="shared" si="48"/>
        <v>28/06/2021</v>
      </c>
      <c r="H359" s="19" t="s">
        <v>1</v>
      </c>
      <c r="I359" s="19" t="s">
        <v>0</v>
      </c>
      <c r="J359" s="5" t="s">
        <v>541</v>
      </c>
      <c r="K359" s="5" t="s">
        <v>55</v>
      </c>
      <c r="L359" s="22" t="str">
        <f>+VLOOKUP(K359,'[2]BASE DE PROVEEDORES'!$A:$B,2,0)</f>
        <v xml:space="preserve">DISTRIBUIDORA DE LUBRICANTES Y COMBUSTIBLES S.A DE C.V </v>
      </c>
      <c r="M359" s="25">
        <v>15</v>
      </c>
      <c r="N359" s="5" t="s">
        <v>2</v>
      </c>
      <c r="O359" s="5" t="s">
        <v>2</v>
      </c>
      <c r="P359" s="6">
        <v>121.26</v>
      </c>
      <c r="Q359" s="5" t="s">
        <v>2</v>
      </c>
      <c r="R359" s="18" t="s">
        <v>2</v>
      </c>
      <c r="S359" s="18" t="s">
        <v>2</v>
      </c>
      <c r="T359" s="12">
        <f t="shared" si="50"/>
        <v>15.763800000000002</v>
      </c>
      <c r="U359" s="13">
        <f t="shared" si="49"/>
        <v>152.02379999999999</v>
      </c>
      <c r="V359" s="19" t="s">
        <v>3</v>
      </c>
      <c r="X359" s="3"/>
    </row>
    <row r="360" spans="1:24" x14ac:dyDescent="0.25">
      <c r="A360" s="5" t="s">
        <v>487</v>
      </c>
      <c r="B360" s="18" t="s">
        <v>540</v>
      </c>
      <c r="C360" s="20" t="str">
        <f t="shared" si="46"/>
        <v>28</v>
      </c>
      <c r="D360" s="20" t="str">
        <f t="shared" si="47"/>
        <v>06</v>
      </c>
      <c r="E360" s="19" t="s">
        <v>21</v>
      </c>
      <c r="F360" s="19" t="s">
        <v>22</v>
      </c>
      <c r="G360" s="4" t="str">
        <f t="shared" si="48"/>
        <v>28/06/2021</v>
      </c>
      <c r="H360" s="19" t="s">
        <v>1</v>
      </c>
      <c r="I360" s="19" t="s">
        <v>0</v>
      </c>
      <c r="J360" s="5" t="s">
        <v>542</v>
      </c>
      <c r="K360" s="5" t="s">
        <v>55</v>
      </c>
      <c r="L360" s="22" t="str">
        <f>+VLOOKUP(K360,'[2]BASE DE PROVEEDORES'!$A:$B,2,0)</f>
        <v xml:space="preserve">DISTRIBUIDORA DE LUBRICANTES Y COMBUSTIBLES S.A DE C.V </v>
      </c>
      <c r="M360" s="25">
        <f>7.21+3.61</f>
        <v>10.82</v>
      </c>
      <c r="N360" s="5" t="s">
        <v>2</v>
      </c>
      <c r="O360" s="5" t="s">
        <v>2</v>
      </c>
      <c r="P360" s="6">
        <v>87.46</v>
      </c>
      <c r="Q360" s="5" t="s">
        <v>2</v>
      </c>
      <c r="R360" s="18" t="s">
        <v>2</v>
      </c>
      <c r="S360" s="18" t="s">
        <v>2</v>
      </c>
      <c r="T360" s="12">
        <f t="shared" si="50"/>
        <v>11.3698</v>
      </c>
      <c r="U360" s="13">
        <f t="shared" si="49"/>
        <v>109.6498</v>
      </c>
      <c r="V360" s="19" t="s">
        <v>3</v>
      </c>
      <c r="X360" s="3"/>
    </row>
    <row r="361" spans="1:24" x14ac:dyDescent="0.25">
      <c r="A361" s="5" t="s">
        <v>487</v>
      </c>
      <c r="B361" s="18" t="s">
        <v>540</v>
      </c>
      <c r="C361" s="20" t="str">
        <f t="shared" si="46"/>
        <v>28</v>
      </c>
      <c r="D361" s="20" t="str">
        <f t="shared" si="47"/>
        <v>06</v>
      </c>
      <c r="E361" s="19" t="s">
        <v>21</v>
      </c>
      <c r="F361" s="19" t="s">
        <v>22</v>
      </c>
      <c r="G361" s="4" t="str">
        <f t="shared" si="48"/>
        <v>28/06/2021</v>
      </c>
      <c r="H361" s="19" t="s">
        <v>1</v>
      </c>
      <c r="I361" s="19" t="s">
        <v>0</v>
      </c>
      <c r="J361" s="5" t="s">
        <v>543</v>
      </c>
      <c r="K361" s="5" t="s">
        <v>55</v>
      </c>
      <c r="L361" s="22" t="str">
        <f>+VLOOKUP(K361,'[2]BASE DE PROVEEDORES'!$A:$B,2,0)</f>
        <v xml:space="preserve">DISTRIBUIDORA DE LUBRICANTES Y COMBUSTIBLES S.A DE C.V </v>
      </c>
      <c r="M361" s="25">
        <f>11.29+5.65</f>
        <v>16.939999999999998</v>
      </c>
      <c r="N361" s="5" t="s">
        <v>2</v>
      </c>
      <c r="O361" s="5" t="s">
        <v>2</v>
      </c>
      <c r="P361" s="6">
        <v>136.88999999999999</v>
      </c>
      <c r="Q361" s="5" t="s">
        <v>2</v>
      </c>
      <c r="R361" s="18" t="s">
        <v>2</v>
      </c>
      <c r="S361" s="18" t="s">
        <v>2</v>
      </c>
      <c r="T361" s="12">
        <f t="shared" si="50"/>
        <v>17.7957</v>
      </c>
      <c r="U361" s="13">
        <f t="shared" si="49"/>
        <v>171.62569999999999</v>
      </c>
      <c r="V361" s="19" t="s">
        <v>3</v>
      </c>
      <c r="X361" s="3"/>
    </row>
    <row r="362" spans="1:24" x14ac:dyDescent="0.25">
      <c r="A362" s="5" t="s">
        <v>487</v>
      </c>
      <c r="B362" s="18" t="s">
        <v>544</v>
      </c>
      <c r="C362" s="20" t="str">
        <f t="shared" si="46"/>
        <v>02</v>
      </c>
      <c r="D362" s="20" t="str">
        <f t="shared" si="47"/>
        <v>06</v>
      </c>
      <c r="E362" s="19" t="s">
        <v>21</v>
      </c>
      <c r="F362" s="19" t="s">
        <v>22</v>
      </c>
      <c r="G362" s="4" t="str">
        <f t="shared" si="48"/>
        <v>02/06/2021</v>
      </c>
      <c r="H362" s="19" t="s">
        <v>1</v>
      </c>
      <c r="I362" s="19" t="s">
        <v>0</v>
      </c>
      <c r="J362" s="5" t="s">
        <v>545</v>
      </c>
      <c r="K362" s="5" t="s">
        <v>55</v>
      </c>
      <c r="L362" s="22" t="str">
        <f>+VLOOKUP(K362,'[2]BASE DE PROVEEDORES'!$A:$B,2,0)</f>
        <v xml:space="preserve">DISTRIBUIDORA DE LUBRICANTES Y COMBUSTIBLES S.A DE C.V </v>
      </c>
      <c r="M362" s="25">
        <v>4.5</v>
      </c>
      <c r="N362" s="5" t="s">
        <v>2</v>
      </c>
      <c r="O362" s="5" t="s">
        <v>2</v>
      </c>
      <c r="P362" s="6">
        <v>35.81</v>
      </c>
      <c r="Q362" s="5" t="s">
        <v>2</v>
      </c>
      <c r="R362" s="18" t="s">
        <v>2</v>
      </c>
      <c r="S362" s="18" t="s">
        <v>2</v>
      </c>
      <c r="T362" s="12">
        <f t="shared" si="50"/>
        <v>4.6553000000000004</v>
      </c>
      <c r="U362" s="13">
        <f t="shared" si="49"/>
        <v>44.965299999999999</v>
      </c>
      <c r="V362" s="19" t="s">
        <v>3</v>
      </c>
      <c r="X362" s="3"/>
    </row>
    <row r="363" spans="1:24" x14ac:dyDescent="0.25">
      <c r="A363" s="5" t="s">
        <v>487</v>
      </c>
      <c r="B363" s="18" t="s">
        <v>546</v>
      </c>
      <c r="C363" s="20" t="str">
        <f t="shared" si="46"/>
        <v>03</v>
      </c>
      <c r="D363" s="20" t="str">
        <f t="shared" si="47"/>
        <v>06</v>
      </c>
      <c r="E363" s="19" t="s">
        <v>21</v>
      </c>
      <c r="F363" s="19" t="s">
        <v>22</v>
      </c>
      <c r="G363" s="4" t="str">
        <f t="shared" si="48"/>
        <v>03/06/2021</v>
      </c>
      <c r="H363" s="19" t="s">
        <v>1</v>
      </c>
      <c r="I363" s="19" t="s">
        <v>0</v>
      </c>
      <c r="J363" s="5" t="s">
        <v>547</v>
      </c>
      <c r="K363" s="5" t="s">
        <v>55</v>
      </c>
      <c r="L363" s="22" t="str">
        <f>+VLOOKUP(K363,'[2]BASE DE PROVEEDORES'!$A:$B,2,0)</f>
        <v xml:space="preserve">DISTRIBUIDORA DE LUBRICANTES Y COMBUSTIBLES S.A DE C.V </v>
      </c>
      <c r="M363" s="25">
        <f>9.23+4.62</f>
        <v>13.850000000000001</v>
      </c>
      <c r="N363" s="5" t="s">
        <v>2</v>
      </c>
      <c r="O363" s="5" t="s">
        <v>2</v>
      </c>
      <c r="P363" s="6">
        <v>110.02</v>
      </c>
      <c r="Q363" s="5" t="s">
        <v>2</v>
      </c>
      <c r="R363" s="18" t="s">
        <v>2</v>
      </c>
      <c r="S363" s="18" t="s">
        <v>2</v>
      </c>
      <c r="T363" s="12">
        <f t="shared" si="50"/>
        <v>14.3026</v>
      </c>
      <c r="U363" s="13">
        <f t="shared" si="49"/>
        <v>138.17260000000002</v>
      </c>
      <c r="V363" s="19" t="s">
        <v>3</v>
      </c>
      <c r="X363" s="3"/>
    </row>
    <row r="364" spans="1:24" x14ac:dyDescent="0.25">
      <c r="A364" s="5" t="s">
        <v>487</v>
      </c>
      <c r="B364" s="18" t="s">
        <v>548</v>
      </c>
      <c r="C364" s="20" t="str">
        <f t="shared" si="46"/>
        <v>05</v>
      </c>
      <c r="D364" s="20" t="str">
        <f t="shared" si="47"/>
        <v>06</v>
      </c>
      <c r="E364" s="19" t="s">
        <v>21</v>
      </c>
      <c r="F364" s="19" t="s">
        <v>22</v>
      </c>
      <c r="G364" s="4" t="str">
        <f t="shared" si="48"/>
        <v>05/06/2021</v>
      </c>
      <c r="H364" s="19" t="s">
        <v>1</v>
      </c>
      <c r="I364" s="19" t="s">
        <v>0</v>
      </c>
      <c r="J364" s="5" t="s">
        <v>549</v>
      </c>
      <c r="K364" s="5" t="s">
        <v>55</v>
      </c>
      <c r="L364" s="22" t="str">
        <f>+VLOOKUP(K364,'[2]BASE DE PROVEEDORES'!$A:$B,2,0)</f>
        <v xml:space="preserve">DISTRIBUIDORA DE LUBRICANTES Y COMBUSTIBLES S.A DE C.V </v>
      </c>
      <c r="M364" s="25">
        <f>0.9+0.45</f>
        <v>1.35</v>
      </c>
      <c r="N364" s="5" t="s">
        <v>2</v>
      </c>
      <c r="O364" s="5" t="s">
        <v>2</v>
      </c>
      <c r="P364" s="6">
        <v>10.76</v>
      </c>
      <c r="Q364" s="5" t="s">
        <v>2</v>
      </c>
      <c r="R364" s="18" t="s">
        <v>2</v>
      </c>
      <c r="S364" s="18" t="s">
        <v>2</v>
      </c>
      <c r="T364" s="12">
        <f t="shared" si="50"/>
        <v>1.3988</v>
      </c>
      <c r="U364" s="13">
        <f t="shared" si="49"/>
        <v>13.508799999999999</v>
      </c>
      <c r="V364" s="19" t="s">
        <v>3</v>
      </c>
      <c r="X364" s="3"/>
    </row>
    <row r="365" spans="1:24" x14ac:dyDescent="0.25">
      <c r="A365" s="5" t="s">
        <v>487</v>
      </c>
      <c r="B365" s="18" t="s">
        <v>550</v>
      </c>
      <c r="C365" s="20" t="str">
        <f t="shared" si="46"/>
        <v>06</v>
      </c>
      <c r="D365" s="20" t="str">
        <f t="shared" si="47"/>
        <v>06</v>
      </c>
      <c r="E365" s="19" t="s">
        <v>21</v>
      </c>
      <c r="F365" s="19" t="s">
        <v>22</v>
      </c>
      <c r="G365" s="4" t="str">
        <f t="shared" si="48"/>
        <v>06/06/2021</v>
      </c>
      <c r="H365" s="19" t="s">
        <v>1</v>
      </c>
      <c r="I365" s="19" t="s">
        <v>0</v>
      </c>
      <c r="J365" s="5" t="s">
        <v>551</v>
      </c>
      <c r="K365" s="5" t="s">
        <v>55</v>
      </c>
      <c r="L365" s="22" t="str">
        <f>+VLOOKUP(K365,'[2]BASE DE PROVEEDORES'!$A:$B,2,0)</f>
        <v xml:space="preserve">DISTRIBUIDORA DE LUBRICANTES Y COMBUSTIBLES S.A DE C.V </v>
      </c>
      <c r="M365" s="25">
        <v>18.920000000000002</v>
      </c>
      <c r="N365" s="5" t="s">
        <v>2</v>
      </c>
      <c r="O365" s="5" t="s">
        <v>2</v>
      </c>
      <c r="P365" s="6">
        <v>150.11000000000001</v>
      </c>
      <c r="Q365" s="5" t="s">
        <v>2</v>
      </c>
      <c r="R365" s="18" t="s">
        <v>2</v>
      </c>
      <c r="S365" s="18" t="s">
        <v>2</v>
      </c>
      <c r="T365" s="12">
        <f t="shared" si="50"/>
        <v>19.514300000000002</v>
      </c>
      <c r="U365" s="13">
        <f t="shared" si="49"/>
        <v>188.54430000000002</v>
      </c>
      <c r="V365" s="19" t="s">
        <v>3</v>
      </c>
      <c r="X365" s="3"/>
    </row>
    <row r="366" spans="1:24" x14ac:dyDescent="0.25">
      <c r="A366" s="5" t="s">
        <v>487</v>
      </c>
      <c r="B366" s="18" t="s">
        <v>488</v>
      </c>
      <c r="C366" s="20" t="str">
        <f t="shared" si="46"/>
        <v>07</v>
      </c>
      <c r="D366" s="20" t="str">
        <f t="shared" si="47"/>
        <v>06</v>
      </c>
      <c r="E366" s="19" t="s">
        <v>21</v>
      </c>
      <c r="F366" s="19" t="s">
        <v>22</v>
      </c>
      <c r="G366" s="4" t="str">
        <f t="shared" si="48"/>
        <v>07/06/2021</v>
      </c>
      <c r="H366" s="19" t="s">
        <v>1</v>
      </c>
      <c r="I366" s="19" t="s">
        <v>0</v>
      </c>
      <c r="J366" s="5" t="s">
        <v>552</v>
      </c>
      <c r="K366" s="5" t="s">
        <v>55</v>
      </c>
      <c r="L366" s="22" t="str">
        <f>+VLOOKUP(K366,'[2]BASE DE PROVEEDORES'!$A:$B,2,0)</f>
        <v xml:space="preserve">DISTRIBUIDORA DE LUBRICANTES Y COMBUSTIBLES S.A DE C.V </v>
      </c>
      <c r="M366" s="25">
        <f>4.64+2.32</f>
        <v>6.9599999999999991</v>
      </c>
      <c r="N366" s="5" t="s">
        <v>2</v>
      </c>
      <c r="O366" s="5" t="s">
        <v>2</v>
      </c>
      <c r="P366" s="6">
        <v>55.31</v>
      </c>
      <c r="Q366" s="5" t="s">
        <v>2</v>
      </c>
      <c r="R366" s="18" t="s">
        <v>2</v>
      </c>
      <c r="S366" s="18" t="s">
        <v>2</v>
      </c>
      <c r="T366" s="12">
        <f t="shared" si="50"/>
        <v>7.1903000000000006</v>
      </c>
      <c r="U366" s="13">
        <f t="shared" si="49"/>
        <v>69.460300000000004</v>
      </c>
      <c r="V366" s="19" t="s">
        <v>3</v>
      </c>
      <c r="X366" s="3"/>
    </row>
    <row r="367" spans="1:24" x14ac:dyDescent="0.25">
      <c r="A367" s="5" t="s">
        <v>487</v>
      </c>
      <c r="B367" s="18" t="s">
        <v>488</v>
      </c>
      <c r="C367" s="20" t="str">
        <f t="shared" si="46"/>
        <v>07</v>
      </c>
      <c r="D367" s="20" t="str">
        <f t="shared" si="47"/>
        <v>06</v>
      </c>
      <c r="E367" s="19" t="s">
        <v>21</v>
      </c>
      <c r="F367" s="19" t="s">
        <v>22</v>
      </c>
      <c r="G367" s="4" t="str">
        <f t="shared" si="48"/>
        <v>07/06/2021</v>
      </c>
      <c r="H367" s="19" t="s">
        <v>1</v>
      </c>
      <c r="I367" s="19" t="s">
        <v>0</v>
      </c>
      <c r="J367" s="5" t="s">
        <v>553</v>
      </c>
      <c r="K367" s="5" t="s">
        <v>55</v>
      </c>
      <c r="L367" s="22" t="str">
        <f>+VLOOKUP(K367,'[2]BASE DE PROVEEDORES'!$A:$B,2,0)</f>
        <v xml:space="preserve">DISTRIBUIDORA DE LUBRICANTES Y COMBUSTIBLES S.A DE C.V </v>
      </c>
      <c r="M367" s="25">
        <f>25.2+12.6</f>
        <v>37.799999999999997</v>
      </c>
      <c r="N367" s="5" t="s">
        <v>2</v>
      </c>
      <c r="O367" s="5" t="s">
        <v>2</v>
      </c>
      <c r="P367" s="6">
        <v>300.20999999999998</v>
      </c>
      <c r="Q367" s="5" t="s">
        <v>2</v>
      </c>
      <c r="R367" s="18" t="s">
        <v>2</v>
      </c>
      <c r="S367" s="18" t="s">
        <v>2</v>
      </c>
      <c r="T367" s="12">
        <f t="shared" si="50"/>
        <v>39.027299999999997</v>
      </c>
      <c r="U367" s="13">
        <f t="shared" si="49"/>
        <v>377.03729999999996</v>
      </c>
      <c r="V367" s="19" t="s">
        <v>3</v>
      </c>
      <c r="X367" s="3"/>
    </row>
    <row r="368" spans="1:24" x14ac:dyDescent="0.25">
      <c r="A368" s="5" t="s">
        <v>487</v>
      </c>
      <c r="B368" s="18" t="s">
        <v>488</v>
      </c>
      <c r="C368" s="20" t="str">
        <f t="shared" si="46"/>
        <v>07</v>
      </c>
      <c r="D368" s="20" t="str">
        <f t="shared" si="47"/>
        <v>06</v>
      </c>
      <c r="E368" s="19" t="s">
        <v>21</v>
      </c>
      <c r="F368" s="19" t="s">
        <v>22</v>
      </c>
      <c r="G368" s="4" t="str">
        <f t="shared" si="48"/>
        <v>07/06/2021</v>
      </c>
      <c r="H368" s="19" t="s">
        <v>1</v>
      </c>
      <c r="I368" s="19" t="s">
        <v>0</v>
      </c>
      <c r="J368" s="5" t="s">
        <v>554</v>
      </c>
      <c r="K368" s="5" t="s">
        <v>55</v>
      </c>
      <c r="L368" s="22" t="str">
        <f>+VLOOKUP(K368,'[2]BASE DE PROVEEDORES'!$A:$B,2,0)</f>
        <v xml:space="preserve">DISTRIBUIDORA DE LUBRICANTES Y COMBUSTIBLES S.A DE C.V </v>
      </c>
      <c r="M368" s="25">
        <f>18+9</f>
        <v>27</v>
      </c>
      <c r="N368" s="5" t="s">
        <v>2</v>
      </c>
      <c r="O368" s="5" t="s">
        <v>2</v>
      </c>
      <c r="P368" s="6">
        <v>214.43</v>
      </c>
      <c r="Q368" s="5" t="s">
        <v>2</v>
      </c>
      <c r="R368" s="18" t="s">
        <v>2</v>
      </c>
      <c r="S368" s="18" t="s">
        <v>2</v>
      </c>
      <c r="T368" s="12">
        <f t="shared" si="50"/>
        <v>27.875900000000001</v>
      </c>
      <c r="U368" s="13">
        <f t="shared" si="49"/>
        <v>269.30590000000001</v>
      </c>
      <c r="V368" s="19" t="s">
        <v>3</v>
      </c>
      <c r="X368" s="3"/>
    </row>
    <row r="369" spans="1:24" x14ac:dyDescent="0.25">
      <c r="A369" s="5" t="s">
        <v>487</v>
      </c>
      <c r="B369" s="18" t="s">
        <v>488</v>
      </c>
      <c r="C369" s="20" t="str">
        <f t="shared" si="46"/>
        <v>07</v>
      </c>
      <c r="D369" s="20" t="str">
        <f t="shared" si="47"/>
        <v>06</v>
      </c>
      <c r="E369" s="19" t="s">
        <v>21</v>
      </c>
      <c r="F369" s="19" t="s">
        <v>22</v>
      </c>
      <c r="G369" s="4" t="str">
        <f t="shared" si="48"/>
        <v>07/06/2021</v>
      </c>
      <c r="H369" s="19" t="s">
        <v>1</v>
      </c>
      <c r="I369" s="19" t="s">
        <v>0</v>
      </c>
      <c r="J369" s="5" t="s">
        <v>555</v>
      </c>
      <c r="K369" s="5" t="s">
        <v>55</v>
      </c>
      <c r="L369" s="22" t="str">
        <f>+VLOOKUP(K369,'[2]BASE DE PROVEEDORES'!$A:$B,2,0)</f>
        <v xml:space="preserve">DISTRIBUIDORA DE LUBRICANTES Y COMBUSTIBLES S.A DE C.V </v>
      </c>
      <c r="M369" s="25">
        <f>26.12+13.06</f>
        <v>39.18</v>
      </c>
      <c r="N369" s="5" t="s">
        <v>2</v>
      </c>
      <c r="O369" s="5" t="s">
        <v>2</v>
      </c>
      <c r="P369" s="6">
        <v>311.18</v>
      </c>
      <c r="Q369" s="5" t="s">
        <v>2</v>
      </c>
      <c r="R369" s="18" t="s">
        <v>2</v>
      </c>
      <c r="S369" s="18" t="s">
        <v>2</v>
      </c>
      <c r="T369" s="12">
        <f t="shared" si="50"/>
        <v>40.453400000000002</v>
      </c>
      <c r="U369" s="13">
        <f t="shared" si="49"/>
        <v>390.8134</v>
      </c>
      <c r="V369" s="19" t="s">
        <v>3</v>
      </c>
      <c r="X369" s="3"/>
    </row>
    <row r="370" spans="1:24" x14ac:dyDescent="0.25">
      <c r="A370" s="5" t="s">
        <v>487</v>
      </c>
      <c r="B370" s="18" t="s">
        <v>488</v>
      </c>
      <c r="C370" s="20" t="str">
        <f t="shared" si="46"/>
        <v>07</v>
      </c>
      <c r="D370" s="20" t="str">
        <f t="shared" si="47"/>
        <v>06</v>
      </c>
      <c r="E370" s="19" t="s">
        <v>21</v>
      </c>
      <c r="F370" s="19" t="s">
        <v>22</v>
      </c>
      <c r="G370" s="4" t="str">
        <f t="shared" si="48"/>
        <v>07/06/2021</v>
      </c>
      <c r="H370" s="19" t="s">
        <v>1</v>
      </c>
      <c r="I370" s="19" t="s">
        <v>0</v>
      </c>
      <c r="J370" s="5" t="s">
        <v>556</v>
      </c>
      <c r="K370" s="5" t="s">
        <v>55</v>
      </c>
      <c r="L370" s="22" t="str">
        <f>+VLOOKUP(K370,'[2]BASE DE PROVEEDORES'!$A:$B,2,0)</f>
        <v xml:space="preserve">DISTRIBUIDORA DE LUBRICANTES Y COMBUSTIBLES S.A DE C.V </v>
      </c>
      <c r="M370" s="25">
        <f>10.12+5.06</f>
        <v>15.18</v>
      </c>
      <c r="N370" s="5" t="s">
        <v>2</v>
      </c>
      <c r="O370" s="5" t="s">
        <v>2</v>
      </c>
      <c r="P370" s="6">
        <v>120.57</v>
      </c>
      <c r="Q370" s="5" t="s">
        <v>2</v>
      </c>
      <c r="R370" s="18" t="s">
        <v>2</v>
      </c>
      <c r="S370" s="18" t="s">
        <v>2</v>
      </c>
      <c r="T370" s="12">
        <f t="shared" si="50"/>
        <v>15.674099999999999</v>
      </c>
      <c r="U370" s="13">
        <f t="shared" si="49"/>
        <v>151.42410000000001</v>
      </c>
      <c r="V370" s="19" t="s">
        <v>3</v>
      </c>
      <c r="X370" s="3"/>
    </row>
    <row r="371" spans="1:24" x14ac:dyDescent="0.25">
      <c r="A371" s="5" t="s">
        <v>487</v>
      </c>
      <c r="B371" s="18" t="s">
        <v>494</v>
      </c>
      <c r="C371" s="20" t="str">
        <f t="shared" si="46"/>
        <v>22</v>
      </c>
      <c r="D371" s="20" t="str">
        <f t="shared" si="47"/>
        <v>06</v>
      </c>
      <c r="E371" s="19" t="s">
        <v>21</v>
      </c>
      <c r="F371" s="19" t="s">
        <v>22</v>
      </c>
      <c r="G371" s="4" t="str">
        <f t="shared" si="48"/>
        <v>22/06/2021</v>
      </c>
      <c r="H371" s="19" t="s">
        <v>1</v>
      </c>
      <c r="I371" s="19" t="s">
        <v>0</v>
      </c>
      <c r="J371" s="5" t="s">
        <v>557</v>
      </c>
      <c r="K371" s="5" t="s">
        <v>55</v>
      </c>
      <c r="L371" s="22" t="str">
        <f>+VLOOKUP(K371,'[2]BASE DE PROVEEDORES'!$A:$B,2,0)</f>
        <v xml:space="preserve">DISTRIBUIDORA DE LUBRICANTES Y COMBUSTIBLES S.A DE C.V </v>
      </c>
      <c r="M371" s="25">
        <f>2.77+1.38</f>
        <v>4.1500000000000004</v>
      </c>
      <c r="N371" s="5" t="s">
        <v>2</v>
      </c>
      <c r="O371" s="5" t="s">
        <v>2</v>
      </c>
      <c r="P371" s="6">
        <v>42.68</v>
      </c>
      <c r="Q371" s="5" t="s">
        <v>2</v>
      </c>
      <c r="R371" s="18" t="s">
        <v>2</v>
      </c>
      <c r="S371" s="18" t="s">
        <v>2</v>
      </c>
      <c r="T371" s="12">
        <f t="shared" si="50"/>
        <v>5.5484</v>
      </c>
      <c r="U371" s="13">
        <f t="shared" si="49"/>
        <v>52.378399999999999</v>
      </c>
      <c r="V371" s="19" t="s">
        <v>3</v>
      </c>
      <c r="X371" s="3"/>
    </row>
    <row r="372" spans="1:24" x14ac:dyDescent="0.25">
      <c r="A372" s="5" t="s">
        <v>487</v>
      </c>
      <c r="B372" s="18" t="s">
        <v>410</v>
      </c>
      <c r="C372" s="20" t="str">
        <f t="shared" si="46"/>
        <v>31</v>
      </c>
      <c r="D372" s="20" t="str">
        <f t="shared" si="47"/>
        <v>05</v>
      </c>
      <c r="E372" s="19" t="s">
        <v>21</v>
      </c>
      <c r="F372" s="19" t="s">
        <v>22</v>
      </c>
      <c r="G372" s="4" t="str">
        <f t="shared" si="48"/>
        <v>31/05/2021</v>
      </c>
      <c r="H372" s="19" t="s">
        <v>1</v>
      </c>
      <c r="I372" s="19" t="s">
        <v>0</v>
      </c>
      <c r="J372" s="5" t="s">
        <v>558</v>
      </c>
      <c r="K372" s="5" t="s">
        <v>55</v>
      </c>
      <c r="L372" s="22" t="str">
        <f>+VLOOKUP(K372,'[2]BASE DE PROVEEDORES'!$A:$B,2,0)</f>
        <v xml:space="preserve">DISTRIBUIDORA DE LUBRICANTES Y COMBUSTIBLES S.A DE C.V </v>
      </c>
      <c r="M372" s="25">
        <f>18.78+9.39</f>
        <v>28.17</v>
      </c>
      <c r="N372" s="5" t="s">
        <v>2</v>
      </c>
      <c r="O372" s="5" t="s">
        <v>2</v>
      </c>
      <c r="P372" s="6">
        <v>218.11</v>
      </c>
      <c r="Q372" s="5" t="s">
        <v>2</v>
      </c>
      <c r="R372" s="18" t="s">
        <v>2</v>
      </c>
      <c r="S372" s="18" t="s">
        <v>2</v>
      </c>
      <c r="T372" s="12">
        <f t="shared" si="50"/>
        <v>28.354300000000002</v>
      </c>
      <c r="U372" s="13">
        <f t="shared" si="49"/>
        <v>274.63430000000005</v>
      </c>
      <c r="V372" s="19" t="s">
        <v>3</v>
      </c>
      <c r="X372" s="3"/>
    </row>
    <row r="373" spans="1:24" x14ac:dyDescent="0.25">
      <c r="A373" s="5" t="s">
        <v>487</v>
      </c>
      <c r="B373" s="18" t="s">
        <v>559</v>
      </c>
      <c r="C373" s="20" t="str">
        <f t="shared" si="46"/>
        <v>01</v>
      </c>
      <c r="D373" s="20" t="str">
        <f t="shared" si="47"/>
        <v>06</v>
      </c>
      <c r="E373" s="19" t="s">
        <v>21</v>
      </c>
      <c r="F373" s="19" t="s">
        <v>22</v>
      </c>
      <c r="G373" s="4" t="str">
        <f t="shared" si="48"/>
        <v>01/06/2021</v>
      </c>
      <c r="H373" s="19" t="s">
        <v>1</v>
      </c>
      <c r="I373" s="19" t="s">
        <v>0</v>
      </c>
      <c r="J373" s="5" t="s">
        <v>560</v>
      </c>
      <c r="K373" s="5" t="s">
        <v>55</v>
      </c>
      <c r="L373" s="22" t="str">
        <f>+VLOOKUP(K373,'[2]BASE DE PROVEEDORES'!$A:$B,2,0)</f>
        <v xml:space="preserve">DISTRIBUIDORA DE LUBRICANTES Y COMBUSTIBLES S.A DE C.V </v>
      </c>
      <c r="M373" s="25">
        <f>19.84+9.92</f>
        <v>29.759999999999998</v>
      </c>
      <c r="N373" s="5" t="s">
        <v>2</v>
      </c>
      <c r="O373" s="5" t="s">
        <v>2</v>
      </c>
      <c r="P373" s="6">
        <v>236.41</v>
      </c>
      <c r="Q373" s="5" t="s">
        <v>2</v>
      </c>
      <c r="R373" s="18" t="s">
        <v>2</v>
      </c>
      <c r="S373" s="18" t="s">
        <v>2</v>
      </c>
      <c r="T373" s="12">
        <f t="shared" si="50"/>
        <v>30.7333</v>
      </c>
      <c r="U373" s="13">
        <f t="shared" si="49"/>
        <v>296.9033</v>
      </c>
      <c r="V373" s="19" t="s">
        <v>3</v>
      </c>
      <c r="X373" s="3"/>
    </row>
    <row r="374" spans="1:24" x14ac:dyDescent="0.25">
      <c r="A374" s="5" t="s">
        <v>487</v>
      </c>
      <c r="B374" s="18" t="s">
        <v>544</v>
      </c>
      <c r="C374" s="20" t="str">
        <f t="shared" si="46"/>
        <v>02</v>
      </c>
      <c r="D374" s="20" t="str">
        <f t="shared" si="47"/>
        <v>06</v>
      </c>
      <c r="E374" s="19" t="s">
        <v>21</v>
      </c>
      <c r="F374" s="19" t="s">
        <v>22</v>
      </c>
      <c r="G374" s="4" t="str">
        <f t="shared" si="48"/>
        <v>02/06/2021</v>
      </c>
      <c r="H374" s="19" t="s">
        <v>1</v>
      </c>
      <c r="I374" s="19" t="s">
        <v>0</v>
      </c>
      <c r="J374" s="5" t="s">
        <v>561</v>
      </c>
      <c r="K374" s="5" t="s">
        <v>55</v>
      </c>
      <c r="L374" s="22" t="str">
        <f>+VLOOKUP(K374,'[2]BASE DE PROVEEDORES'!$A:$B,2,0)</f>
        <v xml:space="preserve">DISTRIBUIDORA DE LUBRICANTES Y COMBUSTIBLES S.A DE C.V </v>
      </c>
      <c r="M374" s="25">
        <f>28+14</f>
        <v>42</v>
      </c>
      <c r="N374" s="5" t="s">
        <v>2</v>
      </c>
      <c r="O374" s="5" t="s">
        <v>2</v>
      </c>
      <c r="P374" s="6">
        <v>333.56</v>
      </c>
      <c r="Q374" s="5" t="s">
        <v>2</v>
      </c>
      <c r="R374" s="18" t="s">
        <v>2</v>
      </c>
      <c r="S374" s="18" t="s">
        <v>2</v>
      </c>
      <c r="T374" s="12">
        <f t="shared" si="50"/>
        <v>43.3628</v>
      </c>
      <c r="U374" s="13">
        <f t="shared" si="49"/>
        <v>418.9228</v>
      </c>
      <c r="V374" s="19" t="s">
        <v>3</v>
      </c>
      <c r="X374" s="3"/>
    </row>
    <row r="375" spans="1:24" x14ac:dyDescent="0.25">
      <c r="A375" s="5" t="s">
        <v>487</v>
      </c>
      <c r="B375" s="18" t="s">
        <v>544</v>
      </c>
      <c r="C375" s="20" t="str">
        <f t="shared" si="46"/>
        <v>02</v>
      </c>
      <c r="D375" s="20" t="str">
        <f t="shared" si="47"/>
        <v>06</v>
      </c>
      <c r="E375" s="19" t="s">
        <v>21</v>
      </c>
      <c r="F375" s="19" t="s">
        <v>22</v>
      </c>
      <c r="G375" s="4" t="str">
        <f t="shared" si="48"/>
        <v>02/06/2021</v>
      </c>
      <c r="H375" s="19" t="s">
        <v>1</v>
      </c>
      <c r="I375" s="19" t="s">
        <v>0</v>
      </c>
      <c r="J375" s="5" t="s">
        <v>562</v>
      </c>
      <c r="K375" s="5" t="s">
        <v>55</v>
      </c>
      <c r="L375" s="22" t="str">
        <f>+VLOOKUP(K375,'[2]BASE DE PROVEEDORES'!$A:$B,2,0)</f>
        <v xml:space="preserve">DISTRIBUIDORA DE LUBRICANTES Y COMBUSTIBLES S.A DE C.V </v>
      </c>
      <c r="M375" s="25">
        <f>9.8+4.9</f>
        <v>14.700000000000001</v>
      </c>
      <c r="N375" s="5" t="s">
        <v>2</v>
      </c>
      <c r="O375" s="5" t="s">
        <v>2</v>
      </c>
      <c r="P375" s="6">
        <v>116.76</v>
      </c>
      <c r="Q375" s="5" t="s">
        <v>2</v>
      </c>
      <c r="R375" s="18" t="s">
        <v>2</v>
      </c>
      <c r="S375" s="18" t="s">
        <v>2</v>
      </c>
      <c r="T375" s="12">
        <f t="shared" si="50"/>
        <v>15.178800000000001</v>
      </c>
      <c r="U375" s="13">
        <f t="shared" si="49"/>
        <v>146.6388</v>
      </c>
      <c r="V375" s="19" t="s">
        <v>3</v>
      </c>
      <c r="X375" s="3"/>
    </row>
    <row r="376" spans="1:24" x14ac:dyDescent="0.25">
      <c r="A376" s="5" t="s">
        <v>487</v>
      </c>
      <c r="B376" s="18" t="s">
        <v>544</v>
      </c>
      <c r="C376" s="20" t="str">
        <f t="shared" si="46"/>
        <v>02</v>
      </c>
      <c r="D376" s="20" t="str">
        <f t="shared" si="47"/>
        <v>06</v>
      </c>
      <c r="E376" s="19" t="s">
        <v>21</v>
      </c>
      <c r="F376" s="19" t="s">
        <v>22</v>
      </c>
      <c r="G376" s="4" t="str">
        <f t="shared" si="48"/>
        <v>02/06/2021</v>
      </c>
      <c r="H376" s="19" t="s">
        <v>1</v>
      </c>
      <c r="I376" s="19" t="s">
        <v>0</v>
      </c>
      <c r="J376" s="5" t="s">
        <v>563</v>
      </c>
      <c r="K376" s="5" t="s">
        <v>55</v>
      </c>
      <c r="L376" s="22" t="str">
        <f>+VLOOKUP(K376,'[2]BASE DE PROVEEDORES'!$A:$B,2,0)</f>
        <v xml:space="preserve">DISTRIBUIDORA DE LUBRICANTES Y COMBUSTIBLES S.A DE C.V </v>
      </c>
      <c r="M376" s="25">
        <f>10.56+5.28</f>
        <v>15.84</v>
      </c>
      <c r="N376" s="5" t="s">
        <v>2</v>
      </c>
      <c r="O376" s="5" t="s">
        <v>2</v>
      </c>
      <c r="P376" s="6">
        <v>125.82</v>
      </c>
      <c r="Q376" s="5" t="s">
        <v>2</v>
      </c>
      <c r="R376" s="18" t="s">
        <v>2</v>
      </c>
      <c r="S376" s="18" t="s">
        <v>2</v>
      </c>
      <c r="T376" s="12">
        <f t="shared" si="50"/>
        <v>16.3566</v>
      </c>
      <c r="U376" s="13">
        <f t="shared" si="49"/>
        <v>158.01659999999998</v>
      </c>
      <c r="V376" s="19" t="s">
        <v>3</v>
      </c>
      <c r="X376" s="3"/>
    </row>
    <row r="377" spans="1:24" x14ac:dyDescent="0.25">
      <c r="A377" s="5" t="s">
        <v>487</v>
      </c>
      <c r="B377" s="18" t="s">
        <v>501</v>
      </c>
      <c r="C377" s="20" t="str">
        <f t="shared" si="46"/>
        <v>14</v>
      </c>
      <c r="D377" s="20" t="str">
        <f t="shared" si="47"/>
        <v>06</v>
      </c>
      <c r="E377" s="19" t="s">
        <v>21</v>
      </c>
      <c r="F377" s="19" t="s">
        <v>22</v>
      </c>
      <c r="G377" s="4" t="str">
        <f t="shared" si="48"/>
        <v>14/06/2021</v>
      </c>
      <c r="H377" s="19" t="s">
        <v>1</v>
      </c>
      <c r="I377" s="19" t="s">
        <v>0</v>
      </c>
      <c r="J377" s="5" t="s">
        <v>564</v>
      </c>
      <c r="K377" s="5" t="s">
        <v>55</v>
      </c>
      <c r="L377" s="22" t="str">
        <f>+VLOOKUP(K377,'[2]BASE DE PROVEEDORES'!$A:$B,2,0)</f>
        <v xml:space="preserve">DISTRIBUIDORA DE LUBRICANTES Y COMBUSTIBLES S.A DE C.V </v>
      </c>
      <c r="M377" s="25">
        <v>30.07</v>
      </c>
      <c r="N377" s="5" t="s">
        <v>2</v>
      </c>
      <c r="O377" s="5" t="s">
        <v>2</v>
      </c>
      <c r="P377" s="6">
        <v>238.91</v>
      </c>
      <c r="Q377" s="5" t="s">
        <v>2</v>
      </c>
      <c r="R377" s="18" t="s">
        <v>2</v>
      </c>
      <c r="S377" s="18" t="s">
        <v>2</v>
      </c>
      <c r="T377" s="12">
        <f t="shared" si="50"/>
        <v>31.058299999999999</v>
      </c>
      <c r="U377" s="13">
        <f t="shared" si="49"/>
        <v>300.03829999999999</v>
      </c>
      <c r="V377" s="19" t="s">
        <v>3</v>
      </c>
      <c r="X377" s="3"/>
    </row>
    <row r="378" spans="1:24" x14ac:dyDescent="0.25">
      <c r="A378" s="5" t="s">
        <v>487</v>
      </c>
      <c r="B378" s="18" t="s">
        <v>513</v>
      </c>
      <c r="C378" s="20" t="str">
        <f t="shared" si="46"/>
        <v>11</v>
      </c>
      <c r="D378" s="20" t="str">
        <f t="shared" si="47"/>
        <v>06</v>
      </c>
      <c r="E378" s="19" t="s">
        <v>21</v>
      </c>
      <c r="F378" s="19" t="s">
        <v>22</v>
      </c>
      <c r="G378" s="4" t="str">
        <f t="shared" si="48"/>
        <v>11/06/2021</v>
      </c>
      <c r="H378" s="19" t="s">
        <v>1</v>
      </c>
      <c r="I378" s="19" t="s">
        <v>0</v>
      </c>
      <c r="J378" s="5" t="s">
        <v>565</v>
      </c>
      <c r="K378" s="5" t="s">
        <v>55</v>
      </c>
      <c r="L378" s="22" t="str">
        <f>+VLOOKUP(K378,'[2]BASE DE PROVEEDORES'!$A:$B,2,0)</f>
        <v xml:space="preserve">DISTRIBUIDORA DE LUBRICANTES Y COMBUSTIBLES S.A DE C.V </v>
      </c>
      <c r="M378" s="25">
        <f>17.81+8.91</f>
        <v>26.72</v>
      </c>
      <c r="N378" s="5" t="s">
        <v>2</v>
      </c>
      <c r="O378" s="5" t="s">
        <v>2</v>
      </c>
      <c r="P378" s="6">
        <v>212.2</v>
      </c>
      <c r="Q378" s="5" t="s">
        <v>2</v>
      </c>
      <c r="R378" s="18" t="s">
        <v>2</v>
      </c>
      <c r="S378" s="18" t="s">
        <v>2</v>
      </c>
      <c r="T378" s="12">
        <f t="shared" si="50"/>
        <v>27.585999999999999</v>
      </c>
      <c r="U378" s="13">
        <f t="shared" si="49"/>
        <v>266.50599999999997</v>
      </c>
      <c r="V378" s="19" t="s">
        <v>3</v>
      </c>
      <c r="X378" s="3"/>
    </row>
    <row r="379" spans="1:24" x14ac:dyDescent="0.25">
      <c r="A379" s="5" t="s">
        <v>487</v>
      </c>
      <c r="B379" s="18" t="s">
        <v>490</v>
      </c>
      <c r="C379" s="20" t="str">
        <f t="shared" si="46"/>
        <v>18</v>
      </c>
      <c r="D379" s="20" t="str">
        <f t="shared" si="47"/>
        <v>06</v>
      </c>
      <c r="E379" s="19" t="s">
        <v>21</v>
      </c>
      <c r="F379" s="19" t="s">
        <v>22</v>
      </c>
      <c r="G379" s="4" t="str">
        <f t="shared" si="48"/>
        <v>18/06/2021</v>
      </c>
      <c r="H379" s="19" t="s">
        <v>1</v>
      </c>
      <c r="I379" s="19" t="s">
        <v>0</v>
      </c>
      <c r="J379" s="5" t="s">
        <v>566</v>
      </c>
      <c r="K379" s="5" t="s">
        <v>55</v>
      </c>
      <c r="L379" s="22" t="str">
        <f>+VLOOKUP(K379,'[2]BASE DE PROVEEDORES'!$A:$B,2,0)</f>
        <v xml:space="preserve">DISTRIBUIDORA DE LUBRICANTES Y COMBUSTIBLES S.A DE C.V </v>
      </c>
      <c r="M379" s="25">
        <f>12.6+6.3</f>
        <v>18.899999999999999</v>
      </c>
      <c r="N379" s="5" t="s">
        <v>2</v>
      </c>
      <c r="O379" s="5" t="s">
        <v>2</v>
      </c>
      <c r="P379" s="6">
        <v>152.78</v>
      </c>
      <c r="Q379" s="5" t="s">
        <v>2</v>
      </c>
      <c r="R379" s="18" t="s">
        <v>2</v>
      </c>
      <c r="S379" s="18" t="s">
        <v>2</v>
      </c>
      <c r="T379" s="12">
        <f t="shared" si="50"/>
        <v>19.8614</v>
      </c>
      <c r="U379" s="13">
        <f t="shared" si="49"/>
        <v>191.54140000000001</v>
      </c>
      <c r="V379" s="19" t="s">
        <v>3</v>
      </c>
      <c r="X379" s="3"/>
    </row>
    <row r="380" spans="1:24" x14ac:dyDescent="0.25">
      <c r="A380" s="5" t="s">
        <v>487</v>
      </c>
      <c r="B380" s="18" t="s">
        <v>406</v>
      </c>
      <c r="C380" s="20" t="str">
        <f t="shared" si="46"/>
        <v>18</v>
      </c>
      <c r="D380" s="20" t="str">
        <f t="shared" si="47"/>
        <v>05</v>
      </c>
      <c r="E380" s="19" t="s">
        <v>21</v>
      </c>
      <c r="F380" s="19" t="s">
        <v>22</v>
      </c>
      <c r="G380" s="4" t="str">
        <f t="shared" si="48"/>
        <v>18/05/2021</v>
      </c>
      <c r="H380" s="19" t="s">
        <v>1</v>
      </c>
      <c r="I380" s="19" t="s">
        <v>0</v>
      </c>
      <c r="J380" s="5" t="s">
        <v>567</v>
      </c>
      <c r="K380" s="5" t="s">
        <v>55</v>
      </c>
      <c r="L380" s="22" t="str">
        <f>+VLOOKUP(K380,'[2]BASE DE PROVEEDORES'!$A:$B,2,0)</f>
        <v xml:space="preserve">DISTRIBUIDORA DE LUBRICANTES Y COMBUSTIBLES S.A DE C.V </v>
      </c>
      <c r="M380" s="25">
        <f>23.8+11.9</f>
        <v>35.700000000000003</v>
      </c>
      <c r="N380" s="5" t="s">
        <v>2</v>
      </c>
      <c r="O380" s="5" t="s">
        <v>2</v>
      </c>
      <c r="P380" s="6">
        <v>276.44</v>
      </c>
      <c r="Q380" s="5" t="s">
        <v>2</v>
      </c>
      <c r="R380" s="18" t="s">
        <v>2</v>
      </c>
      <c r="S380" s="18" t="s">
        <v>2</v>
      </c>
      <c r="T380" s="12">
        <f t="shared" si="50"/>
        <v>35.937200000000004</v>
      </c>
      <c r="U380" s="13">
        <f t="shared" si="49"/>
        <v>348.0772</v>
      </c>
      <c r="V380" s="19" t="s">
        <v>3</v>
      </c>
      <c r="X380" s="3"/>
    </row>
    <row r="381" spans="1:24" x14ac:dyDescent="0.25">
      <c r="A381" s="5" t="s">
        <v>487</v>
      </c>
      <c r="B381" s="18" t="s">
        <v>260</v>
      </c>
      <c r="C381" s="20" t="str">
        <f t="shared" si="46"/>
        <v>19</v>
      </c>
      <c r="D381" s="20" t="str">
        <f t="shared" si="47"/>
        <v>05</v>
      </c>
      <c r="E381" s="19" t="s">
        <v>21</v>
      </c>
      <c r="F381" s="19" t="s">
        <v>22</v>
      </c>
      <c r="G381" s="4" t="str">
        <f t="shared" si="48"/>
        <v>19/05/2021</v>
      </c>
      <c r="H381" s="19" t="s">
        <v>1</v>
      </c>
      <c r="I381" s="19" t="s">
        <v>0</v>
      </c>
      <c r="J381" s="5" t="s">
        <v>568</v>
      </c>
      <c r="K381" s="5" t="s">
        <v>55</v>
      </c>
      <c r="L381" s="22" t="str">
        <f>+VLOOKUP(K381,'[2]BASE DE PROVEEDORES'!$A:$B,2,0)</f>
        <v xml:space="preserve">DISTRIBUIDORA DE LUBRICANTES Y COMBUSTIBLES S.A DE C.V </v>
      </c>
      <c r="M381" s="25">
        <f>2.21+1.1</f>
        <v>3.31</v>
      </c>
      <c r="N381" s="5" t="s">
        <v>2</v>
      </c>
      <c r="O381" s="5" t="s">
        <v>2</v>
      </c>
      <c r="P381" s="6">
        <v>25.75</v>
      </c>
      <c r="Q381" s="5" t="s">
        <v>2</v>
      </c>
      <c r="R381" s="18" t="s">
        <v>2</v>
      </c>
      <c r="S381" s="18" t="s">
        <v>2</v>
      </c>
      <c r="T381" s="12">
        <f t="shared" si="50"/>
        <v>3.3475000000000001</v>
      </c>
      <c r="U381" s="13">
        <f t="shared" si="49"/>
        <v>32.407499999999999</v>
      </c>
      <c r="V381" s="19" t="s">
        <v>3</v>
      </c>
      <c r="X381" s="3"/>
    </row>
    <row r="382" spans="1:24" x14ac:dyDescent="0.25">
      <c r="A382" s="5" t="s">
        <v>487</v>
      </c>
      <c r="B382" s="18" t="s">
        <v>260</v>
      </c>
      <c r="C382" s="20" t="str">
        <f t="shared" si="46"/>
        <v>19</v>
      </c>
      <c r="D382" s="20" t="str">
        <f t="shared" si="47"/>
        <v>05</v>
      </c>
      <c r="E382" s="19" t="s">
        <v>21</v>
      </c>
      <c r="F382" s="19" t="s">
        <v>22</v>
      </c>
      <c r="G382" s="4" t="str">
        <f t="shared" si="48"/>
        <v>19/05/2021</v>
      </c>
      <c r="H382" s="19" t="s">
        <v>1</v>
      </c>
      <c r="I382" s="19" t="s">
        <v>0</v>
      </c>
      <c r="J382" s="5" t="s">
        <v>569</v>
      </c>
      <c r="K382" s="5" t="s">
        <v>55</v>
      </c>
      <c r="L382" s="22" t="str">
        <f>+VLOOKUP(K382,'[2]BASE DE PROVEEDORES'!$A:$B,2,0)</f>
        <v xml:space="preserve">DISTRIBUIDORA DE LUBRICANTES Y COMBUSTIBLES S.A DE C.V </v>
      </c>
      <c r="M382" s="25">
        <f>12.47+6.24</f>
        <v>18.71</v>
      </c>
      <c r="N382" s="5" t="s">
        <v>2</v>
      </c>
      <c r="O382" s="5" t="s">
        <v>2</v>
      </c>
      <c r="P382" s="6">
        <v>144.85</v>
      </c>
      <c r="Q382" s="5" t="s">
        <v>2</v>
      </c>
      <c r="R382" s="18" t="s">
        <v>2</v>
      </c>
      <c r="S382" s="18" t="s">
        <v>2</v>
      </c>
      <c r="T382" s="12">
        <f t="shared" si="50"/>
        <v>18.830500000000001</v>
      </c>
      <c r="U382" s="13">
        <f t="shared" si="49"/>
        <v>182.3905</v>
      </c>
      <c r="V382" s="19" t="s">
        <v>3</v>
      </c>
      <c r="X382" s="3"/>
    </row>
    <row r="383" spans="1:24" x14ac:dyDescent="0.25">
      <c r="A383" s="5" t="s">
        <v>487</v>
      </c>
      <c r="B383" s="18" t="s">
        <v>260</v>
      </c>
      <c r="C383" s="20" t="str">
        <f t="shared" si="46"/>
        <v>19</v>
      </c>
      <c r="D383" s="20" t="str">
        <f t="shared" si="47"/>
        <v>05</v>
      </c>
      <c r="E383" s="19" t="s">
        <v>21</v>
      </c>
      <c r="F383" s="19" t="s">
        <v>22</v>
      </c>
      <c r="G383" s="4" t="str">
        <f t="shared" si="48"/>
        <v>19/05/2021</v>
      </c>
      <c r="H383" s="19" t="s">
        <v>1</v>
      </c>
      <c r="I383" s="19" t="s">
        <v>0</v>
      </c>
      <c r="J383" s="5" t="s">
        <v>570</v>
      </c>
      <c r="K383" s="5" t="s">
        <v>55</v>
      </c>
      <c r="L383" s="22" t="str">
        <f>+VLOOKUP(K383,'[2]BASE DE PROVEEDORES'!$A:$B,2,0)</f>
        <v xml:space="preserve">DISTRIBUIDORA DE LUBRICANTES Y COMBUSTIBLES S.A DE C.V </v>
      </c>
      <c r="M383" s="25">
        <f>18.84+9.42</f>
        <v>28.259999999999998</v>
      </c>
      <c r="N383" s="5" t="s">
        <v>2</v>
      </c>
      <c r="O383" s="5" t="s">
        <v>2</v>
      </c>
      <c r="P383" s="6">
        <v>218.84</v>
      </c>
      <c r="Q383" s="5" t="s">
        <v>2</v>
      </c>
      <c r="R383" s="18" t="s">
        <v>2</v>
      </c>
      <c r="S383" s="18" t="s">
        <v>2</v>
      </c>
      <c r="T383" s="12">
        <f t="shared" si="50"/>
        <v>28.449200000000001</v>
      </c>
      <c r="U383" s="13">
        <f t="shared" si="49"/>
        <v>275.54919999999998</v>
      </c>
      <c r="V383" s="19" t="s">
        <v>3</v>
      </c>
      <c r="X383" s="3"/>
    </row>
    <row r="384" spans="1:24" x14ac:dyDescent="0.25">
      <c r="A384" s="5" t="s">
        <v>487</v>
      </c>
      <c r="B384" s="18" t="s">
        <v>273</v>
      </c>
      <c r="C384" s="20" t="str">
        <f t="shared" si="46"/>
        <v>20</v>
      </c>
      <c r="D384" s="20" t="str">
        <f t="shared" si="47"/>
        <v>05</v>
      </c>
      <c r="E384" s="19" t="s">
        <v>21</v>
      </c>
      <c r="F384" s="19" t="s">
        <v>22</v>
      </c>
      <c r="G384" s="4" t="str">
        <f t="shared" si="48"/>
        <v>20/05/2021</v>
      </c>
      <c r="H384" s="19" t="s">
        <v>1</v>
      </c>
      <c r="I384" s="19" t="s">
        <v>0</v>
      </c>
      <c r="J384" s="5" t="s">
        <v>571</v>
      </c>
      <c r="K384" s="5" t="s">
        <v>55</v>
      </c>
      <c r="L384" s="22" t="str">
        <f>+VLOOKUP(K384,'[2]BASE DE PROVEEDORES'!$A:$B,2,0)</f>
        <v xml:space="preserve">DISTRIBUIDORA DE LUBRICANTES Y COMBUSTIBLES S.A DE C.V </v>
      </c>
      <c r="M384" s="25">
        <f>11.01+5.51</f>
        <v>16.52</v>
      </c>
      <c r="N384" s="5" t="s">
        <v>2</v>
      </c>
      <c r="O384" s="5" t="s">
        <v>2</v>
      </c>
      <c r="P384" s="6">
        <v>127.93</v>
      </c>
      <c r="Q384" s="5" t="s">
        <v>2</v>
      </c>
      <c r="R384" s="18" t="s">
        <v>2</v>
      </c>
      <c r="S384" s="18" t="s">
        <v>2</v>
      </c>
      <c r="T384" s="12">
        <f t="shared" si="50"/>
        <v>16.6309</v>
      </c>
      <c r="U384" s="13">
        <f t="shared" si="49"/>
        <v>161.08090000000001</v>
      </c>
      <c r="V384" s="19" t="s">
        <v>3</v>
      </c>
      <c r="X384" s="3"/>
    </row>
    <row r="385" spans="1:24" x14ac:dyDescent="0.25">
      <c r="A385" s="5" t="s">
        <v>487</v>
      </c>
      <c r="B385" s="18" t="s">
        <v>273</v>
      </c>
      <c r="C385" s="20" t="str">
        <f t="shared" si="46"/>
        <v>20</v>
      </c>
      <c r="D385" s="20" t="str">
        <f t="shared" si="47"/>
        <v>05</v>
      </c>
      <c r="E385" s="19" t="s">
        <v>21</v>
      </c>
      <c r="F385" s="19" t="s">
        <v>22</v>
      </c>
      <c r="G385" s="4" t="str">
        <f t="shared" si="48"/>
        <v>20/05/2021</v>
      </c>
      <c r="H385" s="19" t="s">
        <v>1</v>
      </c>
      <c r="I385" s="19" t="s">
        <v>0</v>
      </c>
      <c r="J385" s="5" t="s">
        <v>572</v>
      </c>
      <c r="K385" s="5" t="s">
        <v>55</v>
      </c>
      <c r="L385" s="22" t="str">
        <f>+VLOOKUP(K385,'[2]BASE DE PROVEEDORES'!$A:$B,2,0)</f>
        <v xml:space="preserve">DISTRIBUIDORA DE LUBRICANTES Y COMBUSTIBLES S.A DE C.V </v>
      </c>
      <c r="M385" s="25">
        <f>25.34+12.67</f>
        <v>38.01</v>
      </c>
      <c r="N385" s="5" t="s">
        <v>2</v>
      </c>
      <c r="O385" s="5" t="s">
        <v>2</v>
      </c>
      <c r="P385" s="6">
        <v>294.41000000000003</v>
      </c>
      <c r="Q385" s="5" t="s">
        <v>2</v>
      </c>
      <c r="R385" s="18" t="s">
        <v>2</v>
      </c>
      <c r="S385" s="18" t="s">
        <v>2</v>
      </c>
      <c r="T385" s="12">
        <f t="shared" si="50"/>
        <v>38.273300000000006</v>
      </c>
      <c r="U385" s="13">
        <f t="shared" si="49"/>
        <v>370.69330000000002</v>
      </c>
      <c r="V385" s="19" t="s">
        <v>3</v>
      </c>
      <c r="X385" s="3"/>
    </row>
    <row r="386" spans="1:24" x14ac:dyDescent="0.25">
      <c r="A386" s="5" t="s">
        <v>487</v>
      </c>
      <c r="B386" s="18" t="s">
        <v>273</v>
      </c>
      <c r="C386" s="20" t="str">
        <f t="shared" si="46"/>
        <v>20</v>
      </c>
      <c r="D386" s="20" t="str">
        <f t="shared" si="47"/>
        <v>05</v>
      </c>
      <c r="E386" s="19" t="s">
        <v>21</v>
      </c>
      <c r="F386" s="19" t="s">
        <v>22</v>
      </c>
      <c r="G386" s="4" t="str">
        <f t="shared" si="48"/>
        <v>20/05/2021</v>
      </c>
      <c r="H386" s="19" t="s">
        <v>1</v>
      </c>
      <c r="I386" s="19" t="s">
        <v>0</v>
      </c>
      <c r="J386" s="5" t="s">
        <v>573</v>
      </c>
      <c r="K386" s="5" t="s">
        <v>55</v>
      </c>
      <c r="L386" s="22" t="str">
        <f>+VLOOKUP(K386,'[2]BASE DE PROVEEDORES'!$A:$B,2,0)</f>
        <v xml:space="preserve">DISTRIBUIDORA DE LUBRICANTES Y COMBUSTIBLES S.A DE C.V </v>
      </c>
      <c r="M386" s="25">
        <f>10.59+5.29</f>
        <v>15.879999999999999</v>
      </c>
      <c r="N386" s="5" t="s">
        <v>2</v>
      </c>
      <c r="O386" s="5" t="s">
        <v>2</v>
      </c>
      <c r="P386" s="6">
        <v>123.04</v>
      </c>
      <c r="Q386" s="5" t="s">
        <v>2</v>
      </c>
      <c r="R386" s="18" t="s">
        <v>2</v>
      </c>
      <c r="S386" s="18" t="s">
        <v>2</v>
      </c>
      <c r="T386" s="12">
        <f t="shared" si="50"/>
        <v>15.995200000000001</v>
      </c>
      <c r="U386" s="13">
        <f t="shared" si="49"/>
        <v>154.91520000000003</v>
      </c>
      <c r="V386" s="19" t="s">
        <v>3</v>
      </c>
      <c r="X386" s="3"/>
    </row>
    <row r="387" spans="1:24" x14ac:dyDescent="0.25">
      <c r="A387" s="5" t="s">
        <v>487</v>
      </c>
      <c r="B387" s="18" t="s">
        <v>262</v>
      </c>
      <c r="C387" s="20" t="str">
        <f t="shared" ref="C387:C450" si="51">+LEFT(B387,2)</f>
        <v>21</v>
      </c>
      <c r="D387" s="20" t="str">
        <f t="shared" ref="D387:D450" si="52">+RIGHT(B387,2)</f>
        <v>05</v>
      </c>
      <c r="E387" s="19" t="s">
        <v>21</v>
      </c>
      <c r="F387" s="19" t="s">
        <v>22</v>
      </c>
      <c r="G387" s="4" t="str">
        <f t="shared" ref="G387:G450" si="53">+C387&amp;F387&amp;D387&amp;F387&amp;E387</f>
        <v>21/05/2021</v>
      </c>
      <c r="H387" s="19" t="s">
        <v>1</v>
      </c>
      <c r="I387" s="19" t="s">
        <v>0</v>
      </c>
      <c r="J387" s="5" t="s">
        <v>574</v>
      </c>
      <c r="K387" s="5" t="s">
        <v>55</v>
      </c>
      <c r="L387" s="22" t="str">
        <f>+VLOOKUP(K387,'[2]BASE DE PROVEEDORES'!$A:$B,2,0)</f>
        <v xml:space="preserve">DISTRIBUIDORA DE LUBRICANTES Y COMBUSTIBLES S.A DE C.V </v>
      </c>
      <c r="M387" s="25">
        <f>7.79+3.89</f>
        <v>11.68</v>
      </c>
      <c r="N387" s="5" t="s">
        <v>2</v>
      </c>
      <c r="O387" s="5" t="s">
        <v>2</v>
      </c>
      <c r="P387" s="6">
        <v>90.48</v>
      </c>
      <c r="Q387" s="5" t="s">
        <v>2</v>
      </c>
      <c r="R387" s="18" t="s">
        <v>2</v>
      </c>
      <c r="S387" s="18" t="s">
        <v>2</v>
      </c>
      <c r="T387" s="12">
        <f t="shared" si="50"/>
        <v>11.762400000000001</v>
      </c>
      <c r="U387" s="13">
        <f t="shared" ref="U387:U450" si="54">+M387+P387+T387</f>
        <v>113.9224</v>
      </c>
      <c r="V387" s="19" t="s">
        <v>3</v>
      </c>
      <c r="X387" s="3"/>
    </row>
    <row r="388" spans="1:24" x14ac:dyDescent="0.25">
      <c r="A388" s="5" t="s">
        <v>487</v>
      </c>
      <c r="B388" s="18" t="s">
        <v>262</v>
      </c>
      <c r="C388" s="20" t="str">
        <f t="shared" si="51"/>
        <v>21</v>
      </c>
      <c r="D388" s="20" t="str">
        <f t="shared" si="52"/>
        <v>05</v>
      </c>
      <c r="E388" s="19" t="s">
        <v>21</v>
      </c>
      <c r="F388" s="19" t="s">
        <v>22</v>
      </c>
      <c r="G388" s="4" t="str">
        <f t="shared" si="53"/>
        <v>21/05/2021</v>
      </c>
      <c r="H388" s="19" t="s">
        <v>1</v>
      </c>
      <c r="I388" s="19" t="s">
        <v>0</v>
      </c>
      <c r="J388" s="5" t="s">
        <v>575</v>
      </c>
      <c r="K388" s="5" t="s">
        <v>55</v>
      </c>
      <c r="L388" s="22" t="str">
        <f>+VLOOKUP(K388,'[2]BASE DE PROVEEDORES'!$A:$B,2,0)</f>
        <v xml:space="preserve">DISTRIBUIDORA DE LUBRICANTES Y COMBUSTIBLES S.A DE C.V </v>
      </c>
      <c r="M388" s="25">
        <v>15</v>
      </c>
      <c r="N388" s="5" t="s">
        <v>2</v>
      </c>
      <c r="O388" s="5" t="s">
        <v>2</v>
      </c>
      <c r="P388" s="6">
        <v>116.15</v>
      </c>
      <c r="Q388" s="5" t="s">
        <v>2</v>
      </c>
      <c r="R388" s="18" t="s">
        <v>2</v>
      </c>
      <c r="S388" s="18" t="s">
        <v>2</v>
      </c>
      <c r="T388" s="12">
        <f t="shared" ref="T388:T451" si="55">+P388*0.13</f>
        <v>15.099500000000001</v>
      </c>
      <c r="U388" s="13">
        <f t="shared" si="54"/>
        <v>146.24950000000001</v>
      </c>
      <c r="V388" s="19" t="s">
        <v>3</v>
      </c>
      <c r="X388" s="3"/>
    </row>
    <row r="389" spans="1:24" x14ac:dyDescent="0.25">
      <c r="A389" s="5" t="s">
        <v>487</v>
      </c>
      <c r="B389" s="18" t="s">
        <v>255</v>
      </c>
      <c r="C389" s="20" t="str">
        <f t="shared" si="51"/>
        <v>22</v>
      </c>
      <c r="D389" s="20" t="str">
        <f t="shared" si="52"/>
        <v>05</v>
      </c>
      <c r="E389" s="19" t="s">
        <v>21</v>
      </c>
      <c r="F389" s="19" t="s">
        <v>22</v>
      </c>
      <c r="G389" s="4" t="str">
        <f t="shared" si="53"/>
        <v>22/05/2021</v>
      </c>
      <c r="H389" s="19" t="s">
        <v>1</v>
      </c>
      <c r="I389" s="19" t="s">
        <v>0</v>
      </c>
      <c r="J389" s="5" t="s">
        <v>576</v>
      </c>
      <c r="K389" s="5" t="s">
        <v>55</v>
      </c>
      <c r="L389" s="22" t="str">
        <f>+VLOOKUP(K389,'[2]BASE DE PROVEEDORES'!$A:$B,2,0)</f>
        <v xml:space="preserve">DISTRIBUIDORA DE LUBRICANTES Y COMBUSTIBLES S.A DE C.V </v>
      </c>
      <c r="M389" s="25">
        <f>3.94+1.99</f>
        <v>5.93</v>
      </c>
      <c r="N389" s="5" t="s">
        <v>2</v>
      </c>
      <c r="O389" s="5" t="s">
        <v>2</v>
      </c>
      <c r="P389" s="6">
        <v>46.17</v>
      </c>
      <c r="Q389" s="5" t="s">
        <v>2</v>
      </c>
      <c r="R389" s="18" t="s">
        <v>2</v>
      </c>
      <c r="S389" s="18" t="s">
        <v>2</v>
      </c>
      <c r="T389" s="12">
        <f t="shared" si="55"/>
        <v>6.0021000000000004</v>
      </c>
      <c r="U389" s="13">
        <f t="shared" si="54"/>
        <v>58.1021</v>
      </c>
      <c r="V389" s="19" t="s">
        <v>3</v>
      </c>
      <c r="X389" s="3"/>
    </row>
    <row r="390" spans="1:24" x14ac:dyDescent="0.25">
      <c r="A390" s="5" t="s">
        <v>487</v>
      </c>
      <c r="B390" s="18" t="s">
        <v>501</v>
      </c>
      <c r="C390" s="20" t="str">
        <f t="shared" si="51"/>
        <v>14</v>
      </c>
      <c r="D390" s="20" t="str">
        <f t="shared" si="52"/>
        <v>06</v>
      </c>
      <c r="E390" s="19" t="s">
        <v>21</v>
      </c>
      <c r="F390" s="19" t="s">
        <v>22</v>
      </c>
      <c r="G390" s="4" t="str">
        <f t="shared" si="53"/>
        <v>14/06/2021</v>
      </c>
      <c r="H390" s="19" t="s">
        <v>1</v>
      </c>
      <c r="I390" s="19" t="s">
        <v>0</v>
      </c>
      <c r="J390" s="5" t="s">
        <v>577</v>
      </c>
      <c r="K390" s="5" t="s">
        <v>55</v>
      </c>
      <c r="L390" s="22" t="str">
        <f>+VLOOKUP(K390,'[2]BASE DE PROVEEDORES'!$A:$B,2,0)</f>
        <v xml:space="preserve">DISTRIBUIDORA DE LUBRICANTES Y COMBUSTIBLES S.A DE C.V </v>
      </c>
      <c r="M390" s="25">
        <f>6.99+3.5</f>
        <v>10.49</v>
      </c>
      <c r="N390" s="5" t="s">
        <v>2</v>
      </c>
      <c r="O390" s="5" t="s">
        <v>2</v>
      </c>
      <c r="P390" s="6">
        <v>83.28</v>
      </c>
      <c r="Q390" s="5" t="s">
        <v>2</v>
      </c>
      <c r="R390" s="18" t="s">
        <v>2</v>
      </c>
      <c r="S390" s="18" t="s">
        <v>2</v>
      </c>
      <c r="T390" s="12">
        <f t="shared" si="55"/>
        <v>10.826400000000001</v>
      </c>
      <c r="U390" s="13">
        <f t="shared" si="54"/>
        <v>104.5964</v>
      </c>
      <c r="V390" s="19" t="s">
        <v>3</v>
      </c>
      <c r="X390" s="3"/>
    </row>
    <row r="391" spans="1:24" x14ac:dyDescent="0.25">
      <c r="A391" s="5" t="s">
        <v>487</v>
      </c>
      <c r="B391" s="18" t="s">
        <v>521</v>
      </c>
      <c r="C391" s="20" t="str">
        <f t="shared" si="51"/>
        <v>17</v>
      </c>
      <c r="D391" s="20" t="str">
        <f t="shared" si="52"/>
        <v>06</v>
      </c>
      <c r="E391" s="19" t="s">
        <v>21</v>
      </c>
      <c r="F391" s="19" t="s">
        <v>22</v>
      </c>
      <c r="G391" s="4" t="str">
        <f t="shared" si="53"/>
        <v>17/06/2021</v>
      </c>
      <c r="H391" s="19" t="s">
        <v>1</v>
      </c>
      <c r="I391" s="19" t="s">
        <v>0</v>
      </c>
      <c r="J391" s="5" t="s">
        <v>578</v>
      </c>
      <c r="K391" s="5" t="s">
        <v>55</v>
      </c>
      <c r="L391" s="22" t="str">
        <f>+VLOOKUP(K391,'[2]BASE DE PROVEEDORES'!$A:$B,2,0)</f>
        <v xml:space="preserve">DISTRIBUIDORA DE LUBRICANTES Y COMBUSTIBLES S.A DE C.V </v>
      </c>
      <c r="M391" s="25">
        <f>10.6+5.3</f>
        <v>15.899999999999999</v>
      </c>
      <c r="N391" s="5" t="s">
        <v>2</v>
      </c>
      <c r="O391" s="5" t="s">
        <v>2</v>
      </c>
      <c r="P391" s="6">
        <v>128.53</v>
      </c>
      <c r="Q391" s="5" t="s">
        <v>2</v>
      </c>
      <c r="R391" s="18" t="s">
        <v>2</v>
      </c>
      <c r="S391" s="18" t="s">
        <v>2</v>
      </c>
      <c r="T391" s="12">
        <f t="shared" si="55"/>
        <v>16.7089</v>
      </c>
      <c r="U391" s="13">
        <f t="shared" si="54"/>
        <v>161.13890000000001</v>
      </c>
      <c r="V391" s="19" t="s">
        <v>3</v>
      </c>
      <c r="X391" s="3"/>
    </row>
    <row r="392" spans="1:24" x14ac:dyDescent="0.25">
      <c r="A392" s="5" t="s">
        <v>487</v>
      </c>
      <c r="B392" s="18" t="s">
        <v>418</v>
      </c>
      <c r="C392" s="20" t="str">
        <f t="shared" si="51"/>
        <v>28</v>
      </c>
      <c r="D392" s="20" t="str">
        <f t="shared" si="52"/>
        <v>05</v>
      </c>
      <c r="E392" s="19" t="s">
        <v>21</v>
      </c>
      <c r="F392" s="19" t="s">
        <v>22</v>
      </c>
      <c r="G392" s="4" t="str">
        <f t="shared" si="53"/>
        <v>28/05/2021</v>
      </c>
      <c r="H392" s="19" t="s">
        <v>1</v>
      </c>
      <c r="I392" s="19" t="s">
        <v>0</v>
      </c>
      <c r="J392" s="5" t="s">
        <v>579</v>
      </c>
      <c r="K392" s="5" t="s">
        <v>55</v>
      </c>
      <c r="L392" s="22" t="str">
        <f>+VLOOKUP(K392,'[2]BASE DE PROVEEDORES'!$A:$B,2,0)</f>
        <v xml:space="preserve">DISTRIBUIDORA DE LUBRICANTES Y COMBUSTIBLES S.A DE C.V </v>
      </c>
      <c r="M392" s="25">
        <f>7.38+3.68</f>
        <v>11.06</v>
      </c>
      <c r="N392" s="5" t="s">
        <v>2</v>
      </c>
      <c r="O392" s="5" t="s">
        <v>2</v>
      </c>
      <c r="P392" s="6">
        <v>85.58</v>
      </c>
      <c r="Q392" s="5" t="s">
        <v>2</v>
      </c>
      <c r="R392" s="18" t="s">
        <v>2</v>
      </c>
      <c r="S392" s="18" t="s">
        <v>2</v>
      </c>
      <c r="T392" s="12">
        <f t="shared" si="55"/>
        <v>11.125400000000001</v>
      </c>
      <c r="U392" s="13">
        <f t="shared" si="54"/>
        <v>107.7654</v>
      </c>
      <c r="V392" s="19" t="s">
        <v>3</v>
      </c>
      <c r="X392" s="3"/>
    </row>
    <row r="393" spans="1:24" x14ac:dyDescent="0.25">
      <c r="A393" s="5" t="s">
        <v>487</v>
      </c>
      <c r="B393" s="18" t="s">
        <v>532</v>
      </c>
      <c r="C393" s="20" t="str">
        <f t="shared" si="51"/>
        <v>09</v>
      </c>
      <c r="D393" s="20" t="str">
        <f t="shared" si="52"/>
        <v>06</v>
      </c>
      <c r="E393" s="19" t="s">
        <v>21</v>
      </c>
      <c r="F393" s="19" t="s">
        <v>22</v>
      </c>
      <c r="G393" s="4" t="str">
        <f t="shared" si="53"/>
        <v>09/06/2021</v>
      </c>
      <c r="H393" s="19" t="s">
        <v>1</v>
      </c>
      <c r="I393" s="19" t="s">
        <v>0</v>
      </c>
      <c r="J393" s="5" t="s">
        <v>580</v>
      </c>
      <c r="K393" s="5" t="s">
        <v>55</v>
      </c>
      <c r="L393" s="22" t="str">
        <f>+VLOOKUP(K393,'[2]BASE DE PROVEEDORES'!$A:$B,2,0)</f>
        <v xml:space="preserve">DISTRIBUIDORA DE LUBRICANTES Y COMBUSTIBLES S.A DE C.V </v>
      </c>
      <c r="M393" s="25">
        <f>0.655+0.32</f>
        <v>0.97500000000000009</v>
      </c>
      <c r="N393" s="5" t="s">
        <v>2</v>
      </c>
      <c r="O393" s="5" t="s">
        <v>2</v>
      </c>
      <c r="P393" s="6">
        <v>7.78</v>
      </c>
      <c r="Q393" s="5" t="s">
        <v>2</v>
      </c>
      <c r="R393" s="18" t="s">
        <v>2</v>
      </c>
      <c r="S393" s="18" t="s">
        <v>2</v>
      </c>
      <c r="T393" s="12">
        <f t="shared" si="55"/>
        <v>1.0114000000000001</v>
      </c>
      <c r="U393" s="13">
        <f t="shared" si="54"/>
        <v>9.7664000000000009</v>
      </c>
      <c r="V393" s="19" t="s">
        <v>3</v>
      </c>
      <c r="X393" s="3"/>
    </row>
    <row r="394" spans="1:24" x14ac:dyDescent="0.25">
      <c r="A394" s="5" t="s">
        <v>487</v>
      </c>
      <c r="B394" s="18" t="s">
        <v>410</v>
      </c>
      <c r="C394" s="20" t="str">
        <f t="shared" si="51"/>
        <v>31</v>
      </c>
      <c r="D394" s="20" t="str">
        <f t="shared" si="52"/>
        <v>05</v>
      </c>
      <c r="E394" s="19" t="s">
        <v>21</v>
      </c>
      <c r="F394" s="19" t="s">
        <v>22</v>
      </c>
      <c r="G394" s="4" t="str">
        <f t="shared" si="53"/>
        <v>31/05/2021</v>
      </c>
      <c r="H394" s="19" t="s">
        <v>1</v>
      </c>
      <c r="I394" s="19" t="s">
        <v>0</v>
      </c>
      <c r="J394" s="5" t="s">
        <v>581</v>
      </c>
      <c r="K394" s="5" t="s">
        <v>55</v>
      </c>
      <c r="L394" s="22" t="str">
        <f>+VLOOKUP(K394,'[2]BASE DE PROVEEDORES'!$A:$B,2,0)</f>
        <v xml:space="preserve">DISTRIBUIDORA DE LUBRICANTES Y COMBUSTIBLES S.A DE C.V </v>
      </c>
      <c r="M394" s="25">
        <f>6.74+3.37</f>
        <v>10.11</v>
      </c>
      <c r="N394" s="5" t="s">
        <v>2</v>
      </c>
      <c r="O394" s="5" t="s">
        <v>2</v>
      </c>
      <c r="P394" s="6">
        <v>78.33</v>
      </c>
      <c r="Q394" s="5" t="s">
        <v>2</v>
      </c>
      <c r="R394" s="18" t="s">
        <v>2</v>
      </c>
      <c r="S394" s="18" t="s">
        <v>2</v>
      </c>
      <c r="T394" s="12">
        <f t="shared" si="55"/>
        <v>10.1829</v>
      </c>
      <c r="U394" s="13">
        <f t="shared" si="54"/>
        <v>98.622900000000001</v>
      </c>
      <c r="V394" s="19" t="s">
        <v>3</v>
      </c>
      <c r="X394" s="3"/>
    </row>
    <row r="395" spans="1:24" x14ac:dyDescent="0.25">
      <c r="A395" s="5" t="s">
        <v>487</v>
      </c>
      <c r="B395" s="18" t="s">
        <v>406</v>
      </c>
      <c r="C395" s="20" t="str">
        <f t="shared" si="51"/>
        <v>18</v>
      </c>
      <c r="D395" s="20" t="str">
        <f t="shared" si="52"/>
        <v>05</v>
      </c>
      <c r="E395" s="19" t="s">
        <v>21</v>
      </c>
      <c r="F395" s="19" t="s">
        <v>22</v>
      </c>
      <c r="G395" s="4" t="str">
        <f t="shared" si="53"/>
        <v>18/05/2021</v>
      </c>
      <c r="H395" s="19" t="s">
        <v>1</v>
      </c>
      <c r="I395" s="19" t="s">
        <v>0</v>
      </c>
      <c r="J395" s="5" t="s">
        <v>582</v>
      </c>
      <c r="K395" s="5" t="s">
        <v>55</v>
      </c>
      <c r="L395" s="22" t="str">
        <f>+VLOOKUP(K395,'[2]BASE DE PROVEEDORES'!$A:$B,2,0)</f>
        <v xml:space="preserve">DISTRIBUIDORA DE LUBRICANTES Y COMBUSTIBLES S.A DE C.V </v>
      </c>
      <c r="M395" s="25">
        <f>4.6+2.3</f>
        <v>6.8999999999999995</v>
      </c>
      <c r="N395" s="5" t="s">
        <v>2</v>
      </c>
      <c r="O395" s="5" t="s">
        <v>2</v>
      </c>
      <c r="P395" s="6">
        <v>53.42</v>
      </c>
      <c r="Q395" s="5" t="s">
        <v>2</v>
      </c>
      <c r="R395" s="18" t="s">
        <v>2</v>
      </c>
      <c r="S395" s="18" t="s">
        <v>2</v>
      </c>
      <c r="T395" s="12">
        <f t="shared" si="55"/>
        <v>6.9446000000000003</v>
      </c>
      <c r="U395" s="13">
        <f t="shared" si="54"/>
        <v>67.264600000000002</v>
      </c>
      <c r="V395" s="19" t="s">
        <v>3</v>
      </c>
    </row>
    <row r="396" spans="1:24" x14ac:dyDescent="0.25">
      <c r="A396" s="5" t="s">
        <v>487</v>
      </c>
      <c r="B396" s="18" t="s">
        <v>406</v>
      </c>
      <c r="C396" s="20" t="str">
        <f t="shared" si="51"/>
        <v>18</v>
      </c>
      <c r="D396" s="20" t="str">
        <f t="shared" si="52"/>
        <v>05</v>
      </c>
      <c r="E396" s="19" t="s">
        <v>21</v>
      </c>
      <c r="F396" s="19" t="s">
        <v>22</v>
      </c>
      <c r="G396" s="4" t="str">
        <f t="shared" si="53"/>
        <v>18/05/2021</v>
      </c>
      <c r="H396" s="19" t="s">
        <v>1</v>
      </c>
      <c r="I396" s="19" t="s">
        <v>0</v>
      </c>
      <c r="J396" s="5" t="s">
        <v>583</v>
      </c>
      <c r="K396" s="5" t="s">
        <v>55</v>
      </c>
      <c r="L396" s="22" t="str">
        <f>+VLOOKUP(K396,'[2]BASE DE PROVEEDORES'!$A:$B,2,0)</f>
        <v xml:space="preserve">DISTRIBUIDORA DE LUBRICANTES Y COMBUSTIBLES S.A DE C.V </v>
      </c>
      <c r="M396" s="25">
        <f>3.2+1.6</f>
        <v>4.8000000000000007</v>
      </c>
      <c r="N396" s="5" t="s">
        <v>2</v>
      </c>
      <c r="O396" s="5" t="s">
        <v>2</v>
      </c>
      <c r="P396" s="6">
        <v>37.17</v>
      </c>
      <c r="Q396" s="5" t="s">
        <v>2</v>
      </c>
      <c r="R396" s="18" t="s">
        <v>2</v>
      </c>
      <c r="S396" s="18" t="s">
        <v>2</v>
      </c>
      <c r="T396" s="12">
        <f t="shared" si="55"/>
        <v>4.8321000000000005</v>
      </c>
      <c r="U396" s="13">
        <f t="shared" si="54"/>
        <v>46.802099999999996</v>
      </c>
      <c r="V396" s="19" t="s">
        <v>3</v>
      </c>
    </row>
    <row r="397" spans="1:24" x14ac:dyDescent="0.25">
      <c r="A397" s="5" t="s">
        <v>487</v>
      </c>
      <c r="B397" s="18" t="s">
        <v>404</v>
      </c>
      <c r="C397" s="20" t="str">
        <f t="shared" si="51"/>
        <v>16</v>
      </c>
      <c r="D397" s="20" t="str">
        <f t="shared" si="52"/>
        <v>05</v>
      </c>
      <c r="E397" s="19" t="s">
        <v>21</v>
      </c>
      <c r="F397" s="19" t="s">
        <v>22</v>
      </c>
      <c r="G397" s="4" t="str">
        <f t="shared" si="53"/>
        <v>16/05/2021</v>
      </c>
      <c r="H397" s="19" t="s">
        <v>1</v>
      </c>
      <c r="I397" s="19" t="s">
        <v>0</v>
      </c>
      <c r="J397" s="5" t="s">
        <v>584</v>
      </c>
      <c r="K397" s="5" t="s">
        <v>55</v>
      </c>
      <c r="L397" s="22" t="str">
        <f>+VLOOKUP(K397,'[2]BASE DE PROVEEDORES'!$A:$B,2,0)</f>
        <v xml:space="preserve">DISTRIBUIDORA DE LUBRICANTES Y COMBUSTIBLES S.A DE C.V </v>
      </c>
      <c r="M397" s="25">
        <f>26.05+13.03</f>
        <v>39.08</v>
      </c>
      <c r="N397" s="5" t="s">
        <v>2</v>
      </c>
      <c r="O397" s="5" t="s">
        <v>2</v>
      </c>
      <c r="P397" s="6">
        <v>290.39</v>
      </c>
      <c r="Q397" s="5" t="s">
        <v>2</v>
      </c>
      <c r="R397" s="18" t="s">
        <v>2</v>
      </c>
      <c r="S397" s="18" t="s">
        <v>2</v>
      </c>
      <c r="T397" s="12">
        <f t="shared" si="55"/>
        <v>37.750700000000002</v>
      </c>
      <c r="U397" s="13">
        <f t="shared" si="54"/>
        <v>367.22069999999997</v>
      </c>
      <c r="V397" s="19" t="s">
        <v>3</v>
      </c>
    </row>
    <row r="398" spans="1:24" x14ac:dyDescent="0.25">
      <c r="A398" s="5" t="s">
        <v>487</v>
      </c>
      <c r="B398" s="18" t="s">
        <v>404</v>
      </c>
      <c r="C398" s="20" t="str">
        <f t="shared" si="51"/>
        <v>16</v>
      </c>
      <c r="D398" s="20" t="str">
        <f t="shared" si="52"/>
        <v>05</v>
      </c>
      <c r="E398" s="19" t="s">
        <v>21</v>
      </c>
      <c r="F398" s="19" t="s">
        <v>22</v>
      </c>
      <c r="G398" s="4" t="str">
        <f t="shared" si="53"/>
        <v>16/05/2021</v>
      </c>
      <c r="H398" s="19" t="s">
        <v>1</v>
      </c>
      <c r="I398" s="19" t="s">
        <v>0</v>
      </c>
      <c r="J398" s="5" t="s">
        <v>585</v>
      </c>
      <c r="K398" s="5" t="s">
        <v>55</v>
      </c>
      <c r="L398" s="22" t="str">
        <f>+VLOOKUP(K398,'[2]BASE DE PROVEEDORES'!$A:$B,2,0)</f>
        <v xml:space="preserve">DISTRIBUIDORA DE LUBRICANTES Y COMBUSTIBLES S.A DE C.V </v>
      </c>
      <c r="M398" s="25">
        <f>28.29+14.15</f>
        <v>42.44</v>
      </c>
      <c r="N398" s="5" t="s">
        <v>2</v>
      </c>
      <c r="O398" s="5" t="s">
        <v>2</v>
      </c>
      <c r="P398" s="6">
        <v>315.36</v>
      </c>
      <c r="Q398" s="5" t="s">
        <v>2</v>
      </c>
      <c r="R398" s="18" t="s">
        <v>2</v>
      </c>
      <c r="S398" s="18" t="s">
        <v>2</v>
      </c>
      <c r="T398" s="12">
        <f t="shared" si="55"/>
        <v>40.9968</v>
      </c>
      <c r="U398" s="13">
        <f t="shared" si="54"/>
        <v>398.79680000000002</v>
      </c>
      <c r="V398" s="19" t="s">
        <v>3</v>
      </c>
    </row>
    <row r="399" spans="1:24" x14ac:dyDescent="0.25">
      <c r="A399" s="5" t="s">
        <v>487</v>
      </c>
      <c r="B399" s="18" t="s">
        <v>501</v>
      </c>
      <c r="C399" s="20" t="str">
        <f t="shared" si="51"/>
        <v>14</v>
      </c>
      <c r="D399" s="20" t="str">
        <f t="shared" si="52"/>
        <v>06</v>
      </c>
      <c r="E399" s="19" t="s">
        <v>21</v>
      </c>
      <c r="F399" s="19" t="s">
        <v>22</v>
      </c>
      <c r="G399" s="4" t="str">
        <f t="shared" si="53"/>
        <v>14/06/2021</v>
      </c>
      <c r="H399" s="19" t="s">
        <v>1</v>
      </c>
      <c r="I399" s="19" t="s">
        <v>0</v>
      </c>
      <c r="J399" s="5" t="s">
        <v>586</v>
      </c>
      <c r="K399" s="5" t="s">
        <v>55</v>
      </c>
      <c r="L399" s="22" t="str">
        <f>+VLOOKUP(K399,'[2]BASE DE PROVEEDORES'!$A:$B,2,0)</f>
        <v xml:space="preserve">DISTRIBUIDORA DE LUBRICANTES Y COMBUSTIBLES S.A DE C.V </v>
      </c>
      <c r="M399" s="25">
        <v>15</v>
      </c>
      <c r="N399" s="5" t="s">
        <v>2</v>
      </c>
      <c r="O399" s="5" t="s">
        <v>2</v>
      </c>
      <c r="P399" s="6">
        <v>119.12</v>
      </c>
      <c r="Q399" s="5" t="s">
        <v>2</v>
      </c>
      <c r="R399" s="18" t="s">
        <v>2</v>
      </c>
      <c r="S399" s="18" t="s">
        <v>2</v>
      </c>
      <c r="T399" s="12">
        <f t="shared" si="55"/>
        <v>15.485600000000002</v>
      </c>
      <c r="U399" s="13">
        <f t="shared" si="54"/>
        <v>149.60560000000001</v>
      </c>
      <c r="V399" s="19" t="s">
        <v>3</v>
      </c>
    </row>
    <row r="400" spans="1:24" x14ac:dyDescent="0.25">
      <c r="A400" s="5" t="s">
        <v>487</v>
      </c>
      <c r="B400" s="18" t="s">
        <v>490</v>
      </c>
      <c r="C400" s="20" t="str">
        <f t="shared" si="51"/>
        <v>18</v>
      </c>
      <c r="D400" s="20" t="str">
        <f t="shared" si="52"/>
        <v>06</v>
      </c>
      <c r="E400" s="19" t="s">
        <v>21</v>
      </c>
      <c r="F400" s="19" t="s">
        <v>22</v>
      </c>
      <c r="G400" s="4" t="str">
        <f t="shared" si="53"/>
        <v>18/06/2021</v>
      </c>
      <c r="H400" s="19" t="s">
        <v>1</v>
      </c>
      <c r="I400" s="19" t="s">
        <v>0</v>
      </c>
      <c r="J400" s="5" t="s">
        <v>587</v>
      </c>
      <c r="K400" s="5" t="s">
        <v>55</v>
      </c>
      <c r="L400" s="22" t="str">
        <f>+VLOOKUP(K400,'[2]BASE DE PROVEEDORES'!$A:$B,2,0)</f>
        <v xml:space="preserve">DISTRIBUIDORA DE LUBRICANTES Y COMBUSTIBLES S.A DE C.V </v>
      </c>
      <c r="M400" s="25">
        <f>1.32+0.66</f>
        <v>1.98</v>
      </c>
      <c r="N400" s="5" t="s">
        <v>2</v>
      </c>
      <c r="O400" s="5" t="s">
        <v>2</v>
      </c>
      <c r="P400" s="6">
        <v>20.37</v>
      </c>
      <c r="Q400" s="5" t="s">
        <v>2</v>
      </c>
      <c r="R400" s="18" t="s">
        <v>2</v>
      </c>
      <c r="S400" s="18" t="s">
        <v>2</v>
      </c>
      <c r="T400" s="12">
        <f t="shared" si="55"/>
        <v>2.6481000000000003</v>
      </c>
      <c r="U400" s="13">
        <f t="shared" si="54"/>
        <v>24.998100000000001</v>
      </c>
      <c r="V400" s="19" t="s">
        <v>3</v>
      </c>
    </row>
    <row r="401" spans="1:22" x14ac:dyDescent="0.25">
      <c r="A401" s="5" t="s">
        <v>487</v>
      </c>
      <c r="B401" s="18" t="s">
        <v>588</v>
      </c>
      <c r="C401" s="20" t="str">
        <f t="shared" si="51"/>
        <v>30</v>
      </c>
      <c r="D401" s="20" t="str">
        <f t="shared" si="52"/>
        <v>05</v>
      </c>
      <c r="E401" s="19" t="s">
        <v>21</v>
      </c>
      <c r="F401" s="19" t="s">
        <v>22</v>
      </c>
      <c r="G401" s="4" t="str">
        <f t="shared" si="53"/>
        <v>30/05/2021</v>
      </c>
      <c r="H401" s="19" t="s">
        <v>1</v>
      </c>
      <c r="I401" s="19" t="s">
        <v>0</v>
      </c>
      <c r="J401" s="5" t="s">
        <v>589</v>
      </c>
      <c r="K401" s="5" t="s">
        <v>55</v>
      </c>
      <c r="L401" s="22" t="str">
        <f>+VLOOKUP(K401,'[2]BASE DE PROVEEDORES'!$A:$B,2,0)</f>
        <v xml:space="preserve">DISTRIBUIDORA DE LUBRICANTES Y COMBUSTIBLES S.A DE C.V </v>
      </c>
      <c r="M401" s="25">
        <f>23.39+11.69</f>
        <v>35.08</v>
      </c>
      <c r="N401" s="5" t="s">
        <v>2</v>
      </c>
      <c r="O401" s="5" t="s">
        <v>2</v>
      </c>
      <c r="P401" s="6">
        <v>271.76</v>
      </c>
      <c r="Q401" s="5" t="s">
        <v>2</v>
      </c>
      <c r="R401" s="18" t="s">
        <v>2</v>
      </c>
      <c r="S401" s="18" t="s">
        <v>2</v>
      </c>
      <c r="T401" s="12">
        <f t="shared" si="55"/>
        <v>35.328800000000001</v>
      </c>
      <c r="U401" s="13">
        <f t="shared" si="54"/>
        <v>342.16879999999998</v>
      </c>
      <c r="V401" s="19" t="s">
        <v>3</v>
      </c>
    </row>
    <row r="402" spans="1:22" x14ac:dyDescent="0.25">
      <c r="A402" s="5" t="s">
        <v>487</v>
      </c>
      <c r="B402" s="18" t="s">
        <v>253</v>
      </c>
      <c r="C402" s="20" t="str">
        <f t="shared" si="51"/>
        <v>29</v>
      </c>
      <c r="D402" s="20" t="str">
        <f t="shared" si="52"/>
        <v>05</v>
      </c>
      <c r="E402" s="19" t="s">
        <v>21</v>
      </c>
      <c r="F402" s="19" t="s">
        <v>22</v>
      </c>
      <c r="G402" s="4" t="str">
        <f t="shared" si="53"/>
        <v>29/05/2021</v>
      </c>
      <c r="H402" s="19" t="s">
        <v>1</v>
      </c>
      <c r="I402" s="19" t="s">
        <v>0</v>
      </c>
      <c r="J402" s="5" t="s">
        <v>590</v>
      </c>
      <c r="K402" s="5" t="s">
        <v>55</v>
      </c>
      <c r="L402" s="22" t="str">
        <f>+VLOOKUP(K402,'[2]BASE DE PROVEEDORES'!$A:$B,2,0)</f>
        <v xml:space="preserve">DISTRIBUIDORA DE LUBRICANTES Y COMBUSTIBLES S.A DE C.V </v>
      </c>
      <c r="M402" s="25">
        <f>19.24+9.62</f>
        <v>28.86</v>
      </c>
      <c r="N402" s="5" t="s">
        <v>2</v>
      </c>
      <c r="O402" s="5" t="s">
        <v>2</v>
      </c>
      <c r="P402" s="6">
        <v>223.49</v>
      </c>
      <c r="Q402" s="5" t="s">
        <v>2</v>
      </c>
      <c r="R402" s="18" t="s">
        <v>2</v>
      </c>
      <c r="S402" s="18" t="s">
        <v>2</v>
      </c>
      <c r="T402" s="12">
        <f t="shared" si="55"/>
        <v>29.053700000000003</v>
      </c>
      <c r="U402" s="13">
        <f t="shared" si="54"/>
        <v>281.40370000000001</v>
      </c>
      <c r="V402" s="19" t="s">
        <v>3</v>
      </c>
    </row>
    <row r="403" spans="1:22" x14ac:dyDescent="0.25">
      <c r="A403" s="5" t="s">
        <v>487</v>
      </c>
      <c r="B403" s="18" t="s">
        <v>253</v>
      </c>
      <c r="C403" s="20" t="str">
        <f t="shared" si="51"/>
        <v>29</v>
      </c>
      <c r="D403" s="20" t="str">
        <f t="shared" si="52"/>
        <v>05</v>
      </c>
      <c r="E403" s="19" t="s">
        <v>21</v>
      </c>
      <c r="F403" s="19" t="s">
        <v>22</v>
      </c>
      <c r="G403" s="4" t="str">
        <f t="shared" si="53"/>
        <v>29/05/2021</v>
      </c>
      <c r="H403" s="19" t="s">
        <v>1</v>
      </c>
      <c r="I403" s="19" t="s">
        <v>0</v>
      </c>
      <c r="J403" s="5" t="s">
        <v>591</v>
      </c>
      <c r="K403" s="5" t="s">
        <v>55</v>
      </c>
      <c r="L403" s="22" t="str">
        <f>+VLOOKUP(K403,'[2]BASE DE PROVEEDORES'!$A:$B,2,0)</f>
        <v xml:space="preserve">DISTRIBUIDORA DE LUBRICANTES Y COMBUSTIBLES S.A DE C.V </v>
      </c>
      <c r="M403" s="25">
        <f>10.61+5.31</f>
        <v>15.919999999999998</v>
      </c>
      <c r="N403" s="5" t="s">
        <v>2</v>
      </c>
      <c r="O403" s="5" t="s">
        <v>2</v>
      </c>
      <c r="P403" s="6">
        <v>123.23</v>
      </c>
      <c r="Q403" s="5" t="s">
        <v>2</v>
      </c>
      <c r="R403" s="18" t="s">
        <v>2</v>
      </c>
      <c r="S403" s="18" t="s">
        <v>2</v>
      </c>
      <c r="T403" s="12">
        <f t="shared" si="55"/>
        <v>16.0199</v>
      </c>
      <c r="U403" s="13">
        <f t="shared" si="54"/>
        <v>155.16990000000001</v>
      </c>
      <c r="V403" s="19" t="s">
        <v>3</v>
      </c>
    </row>
    <row r="404" spans="1:22" x14ac:dyDescent="0.25">
      <c r="A404" s="5" t="s">
        <v>487</v>
      </c>
      <c r="B404" s="18" t="s">
        <v>253</v>
      </c>
      <c r="C404" s="20" t="str">
        <f t="shared" si="51"/>
        <v>29</v>
      </c>
      <c r="D404" s="20" t="str">
        <f t="shared" si="52"/>
        <v>05</v>
      </c>
      <c r="E404" s="19" t="s">
        <v>21</v>
      </c>
      <c r="F404" s="19" t="s">
        <v>22</v>
      </c>
      <c r="G404" s="4" t="str">
        <f t="shared" si="53"/>
        <v>29/05/2021</v>
      </c>
      <c r="H404" s="19" t="s">
        <v>1</v>
      </c>
      <c r="I404" s="19" t="s">
        <v>0</v>
      </c>
      <c r="J404" s="5" t="s">
        <v>592</v>
      </c>
      <c r="K404" s="5" t="s">
        <v>55</v>
      </c>
      <c r="L404" s="22" t="str">
        <f>+VLOOKUP(K404,'[2]BASE DE PROVEEDORES'!$A:$B,2,0)</f>
        <v xml:space="preserve">DISTRIBUIDORA DE LUBRICANTES Y COMBUSTIBLES S.A DE C.V </v>
      </c>
      <c r="M404" s="25">
        <f>10.82+5.41</f>
        <v>16.23</v>
      </c>
      <c r="N404" s="5" t="s">
        <v>2</v>
      </c>
      <c r="O404" s="5" t="s">
        <v>2</v>
      </c>
      <c r="P404" s="6">
        <v>125.61</v>
      </c>
      <c r="Q404" s="5" t="s">
        <v>2</v>
      </c>
      <c r="R404" s="18" t="s">
        <v>2</v>
      </c>
      <c r="S404" s="18" t="s">
        <v>2</v>
      </c>
      <c r="T404" s="12">
        <f t="shared" si="55"/>
        <v>16.3293</v>
      </c>
      <c r="U404" s="13">
        <f t="shared" si="54"/>
        <v>158.16929999999999</v>
      </c>
      <c r="V404" s="19" t="s">
        <v>3</v>
      </c>
    </row>
    <row r="405" spans="1:22" x14ac:dyDescent="0.25">
      <c r="A405" s="5" t="s">
        <v>487</v>
      </c>
      <c r="B405" s="18" t="s">
        <v>418</v>
      </c>
      <c r="C405" s="20" t="str">
        <f t="shared" si="51"/>
        <v>28</v>
      </c>
      <c r="D405" s="20" t="str">
        <f t="shared" si="52"/>
        <v>05</v>
      </c>
      <c r="E405" s="19" t="s">
        <v>21</v>
      </c>
      <c r="F405" s="19" t="s">
        <v>22</v>
      </c>
      <c r="G405" s="4" t="str">
        <f t="shared" si="53"/>
        <v>28/05/2021</v>
      </c>
      <c r="H405" s="19" t="s">
        <v>1</v>
      </c>
      <c r="I405" s="19" t="s">
        <v>0</v>
      </c>
      <c r="J405" s="5" t="s">
        <v>593</v>
      </c>
      <c r="K405" s="5" t="s">
        <v>55</v>
      </c>
      <c r="L405" s="22" t="str">
        <f>+VLOOKUP(K405,'[2]BASE DE PROVEEDORES'!$A:$B,2,0)</f>
        <v xml:space="preserve">DISTRIBUIDORA DE LUBRICANTES Y COMBUSTIBLES S.A DE C.V </v>
      </c>
      <c r="M405" s="25">
        <f>18.25+9.13</f>
        <v>27.380000000000003</v>
      </c>
      <c r="N405" s="5" t="s">
        <v>2</v>
      </c>
      <c r="O405" s="5" t="s">
        <v>2</v>
      </c>
      <c r="P405" s="6">
        <v>211.99</v>
      </c>
      <c r="Q405" s="5" t="s">
        <v>2</v>
      </c>
      <c r="R405" s="18" t="s">
        <v>2</v>
      </c>
      <c r="S405" s="18" t="s">
        <v>2</v>
      </c>
      <c r="T405" s="12">
        <f t="shared" si="55"/>
        <v>27.558700000000002</v>
      </c>
      <c r="U405" s="13">
        <f t="shared" si="54"/>
        <v>266.92869999999999</v>
      </c>
      <c r="V405" s="19" t="s">
        <v>3</v>
      </c>
    </row>
    <row r="406" spans="1:22" x14ac:dyDescent="0.25">
      <c r="A406" s="5" t="s">
        <v>487</v>
      </c>
      <c r="B406" s="18" t="s">
        <v>418</v>
      </c>
      <c r="C406" s="20" t="str">
        <f t="shared" si="51"/>
        <v>28</v>
      </c>
      <c r="D406" s="20" t="str">
        <f t="shared" si="52"/>
        <v>05</v>
      </c>
      <c r="E406" s="19" t="s">
        <v>21</v>
      </c>
      <c r="F406" s="19" t="s">
        <v>22</v>
      </c>
      <c r="G406" s="4" t="str">
        <f t="shared" si="53"/>
        <v>28/05/2021</v>
      </c>
      <c r="H406" s="19" t="s">
        <v>1</v>
      </c>
      <c r="I406" s="19" t="s">
        <v>0</v>
      </c>
      <c r="J406" s="5" t="s">
        <v>594</v>
      </c>
      <c r="K406" s="5" t="s">
        <v>55</v>
      </c>
      <c r="L406" s="22" t="str">
        <f>+VLOOKUP(K406,'[2]BASE DE PROVEEDORES'!$A:$B,2,0)</f>
        <v xml:space="preserve">DISTRIBUIDORA DE LUBRICANTES Y COMBUSTIBLES S.A DE C.V </v>
      </c>
      <c r="M406" s="25">
        <f>7.63+3.82</f>
        <v>11.45</v>
      </c>
      <c r="N406" s="5" t="s">
        <v>2</v>
      </c>
      <c r="O406" s="5" t="s">
        <v>2</v>
      </c>
      <c r="P406" s="6">
        <v>88.66</v>
      </c>
      <c r="Q406" s="5" t="s">
        <v>2</v>
      </c>
      <c r="R406" s="18" t="s">
        <v>2</v>
      </c>
      <c r="S406" s="18" t="s">
        <v>2</v>
      </c>
      <c r="T406" s="12">
        <f t="shared" si="55"/>
        <v>11.5258</v>
      </c>
      <c r="U406" s="13">
        <f t="shared" si="54"/>
        <v>111.6358</v>
      </c>
      <c r="V406" s="19" t="s">
        <v>3</v>
      </c>
    </row>
    <row r="407" spans="1:22" x14ac:dyDescent="0.25">
      <c r="A407" s="5" t="s">
        <v>487</v>
      </c>
      <c r="B407" s="18" t="s">
        <v>418</v>
      </c>
      <c r="C407" s="20" t="str">
        <f t="shared" si="51"/>
        <v>28</v>
      </c>
      <c r="D407" s="20" t="str">
        <f t="shared" si="52"/>
        <v>05</v>
      </c>
      <c r="E407" s="19" t="s">
        <v>21</v>
      </c>
      <c r="F407" s="19" t="s">
        <v>22</v>
      </c>
      <c r="G407" s="4" t="str">
        <f t="shared" si="53"/>
        <v>28/05/2021</v>
      </c>
      <c r="H407" s="19" t="s">
        <v>1</v>
      </c>
      <c r="I407" s="19" t="s">
        <v>0</v>
      </c>
      <c r="J407" s="5" t="s">
        <v>595</v>
      </c>
      <c r="K407" s="5" t="s">
        <v>55</v>
      </c>
      <c r="L407" s="22" t="str">
        <f>+VLOOKUP(K407,'[2]BASE DE PROVEEDORES'!$A:$B,2,0)</f>
        <v xml:space="preserve">DISTRIBUIDORA DE LUBRICANTES Y COMBUSTIBLES S.A DE C.V </v>
      </c>
      <c r="M407" s="25">
        <f>8.73+4.36</f>
        <v>13.09</v>
      </c>
      <c r="N407" s="5" t="s">
        <v>2</v>
      </c>
      <c r="O407" s="5" t="s">
        <v>2</v>
      </c>
      <c r="P407" s="6">
        <v>101.34</v>
      </c>
      <c r="Q407" s="5" t="s">
        <v>2</v>
      </c>
      <c r="R407" s="18" t="s">
        <v>2</v>
      </c>
      <c r="S407" s="18" t="s">
        <v>2</v>
      </c>
      <c r="T407" s="12">
        <f t="shared" si="55"/>
        <v>13.174200000000001</v>
      </c>
      <c r="U407" s="13">
        <f t="shared" si="54"/>
        <v>127.60420000000001</v>
      </c>
      <c r="V407" s="19" t="s">
        <v>3</v>
      </c>
    </row>
    <row r="408" spans="1:22" x14ac:dyDescent="0.25">
      <c r="A408" s="5" t="s">
        <v>487</v>
      </c>
      <c r="B408" s="18" t="s">
        <v>418</v>
      </c>
      <c r="C408" s="20" t="str">
        <f t="shared" si="51"/>
        <v>28</v>
      </c>
      <c r="D408" s="20" t="str">
        <f t="shared" si="52"/>
        <v>05</v>
      </c>
      <c r="E408" s="19" t="s">
        <v>21</v>
      </c>
      <c r="F408" s="19" t="s">
        <v>22</v>
      </c>
      <c r="G408" s="4" t="str">
        <f t="shared" si="53"/>
        <v>28/05/2021</v>
      </c>
      <c r="H408" s="19" t="s">
        <v>1</v>
      </c>
      <c r="I408" s="19" t="s">
        <v>0</v>
      </c>
      <c r="J408" s="5" t="s">
        <v>596</v>
      </c>
      <c r="K408" s="5" t="s">
        <v>55</v>
      </c>
      <c r="L408" s="22" t="str">
        <f>+VLOOKUP(K408,'[2]BASE DE PROVEEDORES'!$A:$B,2,0)</f>
        <v xml:space="preserve">DISTRIBUIDORA DE LUBRICANTES Y COMBUSTIBLES S.A DE C.V </v>
      </c>
      <c r="M408" s="25">
        <f>10.85+5.43</f>
        <v>16.28</v>
      </c>
      <c r="N408" s="5" t="s">
        <v>2</v>
      </c>
      <c r="O408" s="5" t="s">
        <v>2</v>
      </c>
      <c r="P408" s="6">
        <v>126.05</v>
      </c>
      <c r="Q408" s="5" t="s">
        <v>2</v>
      </c>
      <c r="R408" s="18" t="s">
        <v>2</v>
      </c>
      <c r="S408" s="18" t="s">
        <v>2</v>
      </c>
      <c r="T408" s="12">
        <f t="shared" si="55"/>
        <v>16.386500000000002</v>
      </c>
      <c r="U408" s="13">
        <f t="shared" si="54"/>
        <v>158.7165</v>
      </c>
      <c r="V408" s="19" t="s">
        <v>3</v>
      </c>
    </row>
    <row r="409" spans="1:22" x14ac:dyDescent="0.25">
      <c r="A409" s="5" t="s">
        <v>487</v>
      </c>
      <c r="B409" s="18" t="s">
        <v>258</v>
      </c>
      <c r="C409" s="20" t="str">
        <f t="shared" si="51"/>
        <v>26</v>
      </c>
      <c r="D409" s="20" t="str">
        <f t="shared" si="52"/>
        <v>05</v>
      </c>
      <c r="E409" s="19" t="s">
        <v>21</v>
      </c>
      <c r="F409" s="19" t="s">
        <v>22</v>
      </c>
      <c r="G409" s="4" t="str">
        <f t="shared" si="53"/>
        <v>26/05/2021</v>
      </c>
      <c r="H409" s="19" t="s">
        <v>1</v>
      </c>
      <c r="I409" s="19" t="s">
        <v>0</v>
      </c>
      <c r="J409" s="5" t="s">
        <v>597</v>
      </c>
      <c r="K409" s="5" t="s">
        <v>55</v>
      </c>
      <c r="L409" s="22" t="str">
        <f>+VLOOKUP(K409,'[2]BASE DE PROVEEDORES'!$A:$B,2,0)</f>
        <v xml:space="preserve">DISTRIBUIDORA DE LUBRICANTES Y COMBUSTIBLES S.A DE C.V </v>
      </c>
      <c r="M409" s="25">
        <f>0.46+0.23</f>
        <v>0.69000000000000006</v>
      </c>
      <c r="N409" s="5" t="s">
        <v>2</v>
      </c>
      <c r="O409" s="5" t="s">
        <v>2</v>
      </c>
      <c r="P409" s="6">
        <v>5.37</v>
      </c>
      <c r="Q409" s="5" t="s">
        <v>2</v>
      </c>
      <c r="R409" s="18" t="s">
        <v>2</v>
      </c>
      <c r="S409" s="18" t="s">
        <v>2</v>
      </c>
      <c r="T409" s="12">
        <f t="shared" si="55"/>
        <v>0.69810000000000005</v>
      </c>
      <c r="U409" s="13">
        <f t="shared" si="54"/>
        <v>6.7581000000000007</v>
      </c>
      <c r="V409" s="19" t="s">
        <v>3</v>
      </c>
    </row>
    <row r="410" spans="1:22" x14ac:dyDescent="0.25">
      <c r="A410" s="5" t="s">
        <v>487</v>
      </c>
      <c r="B410" s="18" t="s">
        <v>258</v>
      </c>
      <c r="C410" s="20" t="str">
        <f t="shared" si="51"/>
        <v>26</v>
      </c>
      <c r="D410" s="20" t="str">
        <f t="shared" si="52"/>
        <v>05</v>
      </c>
      <c r="E410" s="19" t="s">
        <v>21</v>
      </c>
      <c r="F410" s="19" t="s">
        <v>22</v>
      </c>
      <c r="G410" s="4" t="str">
        <f t="shared" si="53"/>
        <v>26/05/2021</v>
      </c>
      <c r="H410" s="19" t="s">
        <v>1</v>
      </c>
      <c r="I410" s="19" t="s">
        <v>0</v>
      </c>
      <c r="J410" s="5" t="s">
        <v>598</v>
      </c>
      <c r="K410" s="5" t="s">
        <v>55</v>
      </c>
      <c r="L410" s="22" t="str">
        <f>+VLOOKUP(K410,'[2]BASE DE PROVEEDORES'!$A:$B,2,0)</f>
        <v xml:space="preserve">DISTRIBUIDORA DE LUBRICANTES Y COMBUSTIBLES S.A DE C.V </v>
      </c>
      <c r="M410" s="25">
        <f>23.1+11.55</f>
        <v>34.650000000000006</v>
      </c>
      <c r="N410" s="5" t="s">
        <v>2</v>
      </c>
      <c r="O410" s="5" t="s">
        <v>2</v>
      </c>
      <c r="P410" s="6">
        <v>268.3</v>
      </c>
      <c r="Q410" s="5" t="s">
        <v>2</v>
      </c>
      <c r="R410" s="18" t="s">
        <v>2</v>
      </c>
      <c r="S410" s="18" t="s">
        <v>2</v>
      </c>
      <c r="T410" s="12">
        <f t="shared" si="55"/>
        <v>34.879000000000005</v>
      </c>
      <c r="U410" s="13">
        <f t="shared" si="54"/>
        <v>337.82900000000006</v>
      </c>
      <c r="V410" s="19" t="s">
        <v>3</v>
      </c>
    </row>
    <row r="411" spans="1:22" x14ac:dyDescent="0.25">
      <c r="A411" s="5" t="s">
        <v>487</v>
      </c>
      <c r="B411" s="18" t="s">
        <v>513</v>
      </c>
      <c r="C411" s="20" t="str">
        <f t="shared" si="51"/>
        <v>11</v>
      </c>
      <c r="D411" s="20" t="str">
        <f t="shared" si="52"/>
        <v>06</v>
      </c>
      <c r="E411" s="19" t="s">
        <v>21</v>
      </c>
      <c r="F411" s="19" t="s">
        <v>22</v>
      </c>
      <c r="G411" s="4" t="str">
        <f t="shared" si="53"/>
        <v>11/06/2021</v>
      </c>
      <c r="H411" s="19" t="s">
        <v>1</v>
      </c>
      <c r="I411" s="19" t="s">
        <v>0</v>
      </c>
      <c r="J411" s="5" t="s">
        <v>599</v>
      </c>
      <c r="K411" s="5" t="s">
        <v>55</v>
      </c>
      <c r="L411" s="22" t="str">
        <f>+VLOOKUP(K411,'[2]BASE DE PROVEEDORES'!$A:$B,2,0)</f>
        <v xml:space="preserve">DISTRIBUIDORA DE LUBRICANTES Y COMBUSTIBLES S.A DE C.V </v>
      </c>
      <c r="M411" s="25">
        <f>3.55+1.77</f>
        <v>5.32</v>
      </c>
      <c r="N411" s="5" t="s">
        <v>2</v>
      </c>
      <c r="O411" s="5" t="s">
        <v>2</v>
      </c>
      <c r="P411" s="6">
        <v>42.27</v>
      </c>
      <c r="Q411" s="5" t="s">
        <v>2</v>
      </c>
      <c r="R411" s="18" t="s">
        <v>2</v>
      </c>
      <c r="S411" s="18" t="s">
        <v>2</v>
      </c>
      <c r="T411" s="12">
        <f t="shared" si="55"/>
        <v>5.4951000000000008</v>
      </c>
      <c r="U411" s="13">
        <f t="shared" si="54"/>
        <v>53.085100000000004</v>
      </c>
      <c r="V411" s="19" t="s">
        <v>3</v>
      </c>
    </row>
    <row r="412" spans="1:22" x14ac:dyDescent="0.25">
      <c r="A412" s="5" t="s">
        <v>487</v>
      </c>
      <c r="B412" s="18" t="s">
        <v>264</v>
      </c>
      <c r="C412" s="20" t="str">
        <f t="shared" si="51"/>
        <v>24</v>
      </c>
      <c r="D412" s="20" t="str">
        <f t="shared" si="52"/>
        <v>05</v>
      </c>
      <c r="E412" s="19" t="s">
        <v>21</v>
      </c>
      <c r="F412" s="19" t="s">
        <v>22</v>
      </c>
      <c r="G412" s="4" t="str">
        <f t="shared" si="53"/>
        <v>24/05/2021</v>
      </c>
      <c r="H412" s="19" t="s">
        <v>1</v>
      </c>
      <c r="I412" s="19" t="s">
        <v>0</v>
      </c>
      <c r="J412" s="5" t="s">
        <v>600</v>
      </c>
      <c r="K412" s="5" t="s">
        <v>55</v>
      </c>
      <c r="L412" s="22" t="str">
        <f>+VLOOKUP(K412,'[2]BASE DE PROVEEDORES'!$A:$B,2,0)</f>
        <v xml:space="preserve">DISTRIBUIDORA DE LUBRICANTES Y COMBUSTIBLES S.A DE C.V </v>
      </c>
      <c r="M412" s="25">
        <f>17.15+8.58</f>
        <v>25.729999999999997</v>
      </c>
      <c r="N412" s="5" t="s">
        <v>2</v>
      </c>
      <c r="O412" s="5" t="s">
        <v>2</v>
      </c>
      <c r="P412" s="6">
        <v>199.2</v>
      </c>
      <c r="Q412" s="5" t="s">
        <v>2</v>
      </c>
      <c r="R412" s="18" t="s">
        <v>2</v>
      </c>
      <c r="S412" s="18" t="s">
        <v>2</v>
      </c>
      <c r="T412" s="12">
        <f t="shared" si="55"/>
        <v>25.896000000000001</v>
      </c>
      <c r="U412" s="13">
        <f t="shared" si="54"/>
        <v>250.82599999999996</v>
      </c>
      <c r="V412" s="19" t="s">
        <v>3</v>
      </c>
    </row>
    <row r="413" spans="1:22" x14ac:dyDescent="0.25">
      <c r="A413" s="5" t="s">
        <v>487</v>
      </c>
      <c r="B413" s="18" t="s">
        <v>266</v>
      </c>
      <c r="C413" s="20" t="str">
        <f t="shared" si="51"/>
        <v>25</v>
      </c>
      <c r="D413" s="20" t="str">
        <f t="shared" si="52"/>
        <v>05</v>
      </c>
      <c r="E413" s="19" t="s">
        <v>21</v>
      </c>
      <c r="F413" s="19" t="s">
        <v>22</v>
      </c>
      <c r="G413" s="4" t="str">
        <f t="shared" si="53"/>
        <v>25/05/2021</v>
      </c>
      <c r="H413" s="19" t="s">
        <v>1</v>
      </c>
      <c r="I413" s="19" t="s">
        <v>0</v>
      </c>
      <c r="J413" s="5" t="s">
        <v>601</v>
      </c>
      <c r="K413" s="5" t="s">
        <v>55</v>
      </c>
      <c r="L413" s="22" t="str">
        <f>+VLOOKUP(K413,'[2]BASE DE PROVEEDORES'!$A:$B,2,0)</f>
        <v xml:space="preserve">DISTRIBUIDORA DE LUBRICANTES Y COMBUSTIBLES S.A DE C.V </v>
      </c>
      <c r="M413" s="25">
        <f>3.69+1.85</f>
        <v>5.54</v>
      </c>
      <c r="N413" s="5" t="s">
        <v>2</v>
      </c>
      <c r="O413" s="5" t="s">
        <v>2</v>
      </c>
      <c r="P413" s="6">
        <v>42.89</v>
      </c>
      <c r="Q413" s="5" t="s">
        <v>2</v>
      </c>
      <c r="R413" s="18" t="s">
        <v>2</v>
      </c>
      <c r="S413" s="18" t="s">
        <v>2</v>
      </c>
      <c r="T413" s="12">
        <f t="shared" si="55"/>
        <v>5.5757000000000003</v>
      </c>
      <c r="U413" s="13">
        <f t="shared" si="54"/>
        <v>54.005699999999997</v>
      </c>
      <c r="V413" s="19" t="s">
        <v>3</v>
      </c>
    </row>
    <row r="414" spans="1:22" x14ac:dyDescent="0.25">
      <c r="A414" s="5" t="s">
        <v>487</v>
      </c>
      <c r="B414" s="18" t="s">
        <v>258</v>
      </c>
      <c r="C414" s="20" t="str">
        <f t="shared" si="51"/>
        <v>26</v>
      </c>
      <c r="D414" s="20" t="str">
        <f t="shared" si="52"/>
        <v>05</v>
      </c>
      <c r="E414" s="19" t="s">
        <v>21</v>
      </c>
      <c r="F414" s="19" t="s">
        <v>22</v>
      </c>
      <c r="G414" s="4" t="str">
        <f t="shared" si="53"/>
        <v>26/05/2021</v>
      </c>
      <c r="H414" s="19" t="s">
        <v>1</v>
      </c>
      <c r="I414" s="19" t="s">
        <v>0</v>
      </c>
      <c r="J414" s="5" t="s">
        <v>602</v>
      </c>
      <c r="K414" s="5" t="s">
        <v>55</v>
      </c>
      <c r="L414" s="22" t="str">
        <f>+VLOOKUP(K414,'[2]BASE DE PROVEEDORES'!$A:$B,2,0)</f>
        <v xml:space="preserve">DISTRIBUIDORA DE LUBRICANTES Y COMBUSTIBLES S.A DE C.V </v>
      </c>
      <c r="M414" s="25">
        <f>0.57+0.29</f>
        <v>0.85999999999999988</v>
      </c>
      <c r="N414" s="5" t="s">
        <v>2</v>
      </c>
      <c r="O414" s="5" t="s">
        <v>2</v>
      </c>
      <c r="P414" s="6">
        <v>6.62</v>
      </c>
      <c r="Q414" s="5" t="s">
        <v>2</v>
      </c>
      <c r="R414" s="18" t="s">
        <v>2</v>
      </c>
      <c r="S414" s="18" t="s">
        <v>2</v>
      </c>
      <c r="T414" s="12">
        <f t="shared" si="55"/>
        <v>0.86060000000000003</v>
      </c>
      <c r="U414" s="13">
        <f t="shared" si="54"/>
        <v>8.3406000000000002</v>
      </c>
      <c r="V414" s="19" t="s">
        <v>3</v>
      </c>
    </row>
    <row r="415" spans="1:22" x14ac:dyDescent="0.25">
      <c r="A415" s="5" t="s">
        <v>487</v>
      </c>
      <c r="B415" s="18" t="s">
        <v>258</v>
      </c>
      <c r="C415" s="20" t="str">
        <f t="shared" si="51"/>
        <v>26</v>
      </c>
      <c r="D415" s="20" t="str">
        <f t="shared" si="52"/>
        <v>05</v>
      </c>
      <c r="E415" s="19" t="s">
        <v>21</v>
      </c>
      <c r="F415" s="19" t="s">
        <v>22</v>
      </c>
      <c r="G415" s="4" t="str">
        <f t="shared" si="53"/>
        <v>26/05/2021</v>
      </c>
      <c r="H415" s="19" t="s">
        <v>1</v>
      </c>
      <c r="I415" s="19" t="s">
        <v>0</v>
      </c>
      <c r="J415" s="5" t="s">
        <v>603</v>
      </c>
      <c r="K415" s="5" t="s">
        <v>55</v>
      </c>
      <c r="L415" s="22" t="str">
        <f>+VLOOKUP(K415,'[2]BASE DE PROVEEDORES'!$A:$B,2,0)</f>
        <v xml:space="preserve">DISTRIBUIDORA DE LUBRICANTES Y COMBUSTIBLES S.A DE C.V </v>
      </c>
      <c r="M415" s="25">
        <f>24.45+12.22</f>
        <v>36.67</v>
      </c>
      <c r="N415" s="5" t="s">
        <v>2</v>
      </c>
      <c r="O415" s="5" t="s">
        <v>2</v>
      </c>
      <c r="P415" s="6">
        <v>283.97000000000003</v>
      </c>
      <c r="Q415" s="5" t="s">
        <v>2</v>
      </c>
      <c r="R415" s="18" t="s">
        <v>2</v>
      </c>
      <c r="S415" s="18" t="s">
        <v>2</v>
      </c>
      <c r="T415" s="12">
        <f t="shared" si="55"/>
        <v>36.916100000000007</v>
      </c>
      <c r="U415" s="13">
        <f t="shared" si="54"/>
        <v>357.55610000000007</v>
      </c>
      <c r="V415" s="19" t="s">
        <v>3</v>
      </c>
    </row>
    <row r="416" spans="1:22" x14ac:dyDescent="0.25">
      <c r="A416" s="5" t="s">
        <v>487</v>
      </c>
      <c r="B416" s="18" t="s">
        <v>255</v>
      </c>
      <c r="C416" s="20" t="str">
        <f t="shared" si="51"/>
        <v>22</v>
      </c>
      <c r="D416" s="20" t="str">
        <f t="shared" si="52"/>
        <v>05</v>
      </c>
      <c r="E416" s="19" t="s">
        <v>21</v>
      </c>
      <c r="F416" s="19" t="s">
        <v>22</v>
      </c>
      <c r="G416" s="4" t="str">
        <f t="shared" si="53"/>
        <v>22/05/2021</v>
      </c>
      <c r="H416" s="19" t="s">
        <v>1</v>
      </c>
      <c r="I416" s="19" t="s">
        <v>0</v>
      </c>
      <c r="J416" s="5" t="s">
        <v>604</v>
      </c>
      <c r="K416" s="5" t="s">
        <v>55</v>
      </c>
      <c r="L416" s="22" t="str">
        <f>+VLOOKUP(K416,'[2]BASE DE PROVEEDORES'!$A:$B,2,0)</f>
        <v xml:space="preserve">DISTRIBUIDORA DE LUBRICANTES Y COMBUSTIBLES S.A DE C.V </v>
      </c>
      <c r="M416" s="25">
        <f>10.62+5.31</f>
        <v>15.93</v>
      </c>
      <c r="N416" s="5" t="s">
        <v>2</v>
      </c>
      <c r="O416" s="5" t="s">
        <v>2</v>
      </c>
      <c r="P416" s="6">
        <v>123.3</v>
      </c>
      <c r="Q416" s="5" t="s">
        <v>2</v>
      </c>
      <c r="R416" s="18" t="s">
        <v>2</v>
      </c>
      <c r="S416" s="18" t="s">
        <v>2</v>
      </c>
      <c r="T416" s="12">
        <f t="shared" si="55"/>
        <v>16.029</v>
      </c>
      <c r="U416" s="13">
        <f t="shared" si="54"/>
        <v>155.25899999999999</v>
      </c>
      <c r="V416" s="19" t="s">
        <v>3</v>
      </c>
    </row>
    <row r="417" spans="1:22" x14ac:dyDescent="0.25">
      <c r="A417" s="5" t="s">
        <v>487</v>
      </c>
      <c r="B417" s="18" t="s">
        <v>262</v>
      </c>
      <c r="C417" s="20" t="str">
        <f t="shared" si="51"/>
        <v>21</v>
      </c>
      <c r="D417" s="20" t="str">
        <f t="shared" si="52"/>
        <v>05</v>
      </c>
      <c r="E417" s="19" t="s">
        <v>21</v>
      </c>
      <c r="F417" s="19" t="s">
        <v>22</v>
      </c>
      <c r="G417" s="4" t="str">
        <f t="shared" si="53"/>
        <v>21/05/2021</v>
      </c>
      <c r="H417" s="19" t="s">
        <v>1</v>
      </c>
      <c r="I417" s="19" t="s">
        <v>0</v>
      </c>
      <c r="J417" s="5" t="s">
        <v>605</v>
      </c>
      <c r="K417" s="5" t="s">
        <v>55</v>
      </c>
      <c r="L417" s="22" t="str">
        <f>+VLOOKUP(K417,'[2]BASE DE PROVEEDORES'!$A:$B,2,0)</f>
        <v xml:space="preserve">DISTRIBUIDORA DE LUBRICANTES Y COMBUSTIBLES S.A DE C.V </v>
      </c>
      <c r="M417" s="25">
        <v>45</v>
      </c>
      <c r="N417" s="5" t="s">
        <v>2</v>
      </c>
      <c r="O417" s="5" t="s">
        <v>2</v>
      </c>
      <c r="P417" s="6">
        <v>393.75</v>
      </c>
      <c r="Q417" s="5" t="s">
        <v>2</v>
      </c>
      <c r="R417" s="18" t="s">
        <v>2</v>
      </c>
      <c r="S417" s="18" t="s">
        <v>2</v>
      </c>
      <c r="T417" s="12">
        <f t="shared" si="55"/>
        <v>51.1875</v>
      </c>
      <c r="U417" s="13">
        <f t="shared" si="54"/>
        <v>489.9375</v>
      </c>
      <c r="V417" s="19" t="s">
        <v>3</v>
      </c>
    </row>
    <row r="418" spans="1:22" x14ac:dyDescent="0.25">
      <c r="A418" s="5" t="s">
        <v>487</v>
      </c>
      <c r="B418" s="18" t="s">
        <v>533</v>
      </c>
      <c r="C418" s="20" t="str">
        <f t="shared" si="51"/>
        <v>08</v>
      </c>
      <c r="D418" s="20" t="str">
        <f t="shared" si="52"/>
        <v>06</v>
      </c>
      <c r="E418" s="19" t="s">
        <v>21</v>
      </c>
      <c r="F418" s="19" t="s">
        <v>22</v>
      </c>
      <c r="G418" s="4" t="str">
        <f t="shared" si="53"/>
        <v>08/06/2021</v>
      </c>
      <c r="H418" s="19" t="s">
        <v>1</v>
      </c>
      <c r="I418" s="19" t="s">
        <v>0</v>
      </c>
      <c r="J418" s="5" t="s">
        <v>606</v>
      </c>
      <c r="K418" s="5" t="s">
        <v>55</v>
      </c>
      <c r="L418" s="22" t="str">
        <f>+VLOOKUP(K418,'[2]BASE DE PROVEEDORES'!$A:$B,2,0)</f>
        <v xml:space="preserve">DISTRIBUIDORA DE LUBRICANTES Y COMBUSTIBLES S.A DE C.V </v>
      </c>
      <c r="M418" s="25">
        <f>9.62+4.81</f>
        <v>14.43</v>
      </c>
      <c r="N418" s="5" t="s">
        <v>2</v>
      </c>
      <c r="O418" s="5" t="s">
        <v>2</v>
      </c>
      <c r="P418" s="6">
        <v>114.63</v>
      </c>
      <c r="Q418" s="5" t="s">
        <v>2</v>
      </c>
      <c r="R418" s="18" t="s">
        <v>2</v>
      </c>
      <c r="S418" s="18" t="s">
        <v>2</v>
      </c>
      <c r="T418" s="12">
        <f t="shared" si="55"/>
        <v>14.901899999999999</v>
      </c>
      <c r="U418" s="13">
        <f t="shared" si="54"/>
        <v>143.96190000000001</v>
      </c>
      <c r="V418" s="19" t="s">
        <v>3</v>
      </c>
    </row>
    <row r="419" spans="1:22" x14ac:dyDescent="0.25">
      <c r="A419" s="5" t="s">
        <v>487</v>
      </c>
      <c r="B419" s="18" t="s">
        <v>559</v>
      </c>
      <c r="C419" s="20" t="str">
        <f t="shared" si="51"/>
        <v>01</v>
      </c>
      <c r="D419" s="20" t="str">
        <f t="shared" si="52"/>
        <v>06</v>
      </c>
      <c r="E419" s="19" t="s">
        <v>21</v>
      </c>
      <c r="F419" s="19" t="s">
        <v>22</v>
      </c>
      <c r="G419" s="4" t="str">
        <f t="shared" si="53"/>
        <v>01/06/2021</v>
      </c>
      <c r="H419" s="19" t="s">
        <v>1</v>
      </c>
      <c r="I419" s="19" t="s">
        <v>0</v>
      </c>
      <c r="J419" s="5" t="s">
        <v>607</v>
      </c>
      <c r="K419" s="5" t="s">
        <v>55</v>
      </c>
      <c r="L419" s="22" t="str">
        <f>+VLOOKUP(K419,'[2]BASE DE PROVEEDORES'!$A:$B,2,0)</f>
        <v xml:space="preserve">DISTRIBUIDORA DE LUBRICANTES Y COMBUSTIBLES S.A DE C.V </v>
      </c>
      <c r="M419" s="25">
        <f>11.56+5.78</f>
        <v>17.34</v>
      </c>
      <c r="N419" s="5" t="s">
        <v>2</v>
      </c>
      <c r="O419" s="5" t="s">
        <v>2</v>
      </c>
      <c r="P419" s="6">
        <v>137.71</v>
      </c>
      <c r="Q419" s="5" t="s">
        <v>2</v>
      </c>
      <c r="R419" s="18" t="s">
        <v>2</v>
      </c>
      <c r="S419" s="18" t="s">
        <v>2</v>
      </c>
      <c r="T419" s="12">
        <f t="shared" si="55"/>
        <v>17.9023</v>
      </c>
      <c r="U419" s="13">
        <f t="shared" si="54"/>
        <v>172.95230000000001</v>
      </c>
      <c r="V419" s="19" t="s">
        <v>3</v>
      </c>
    </row>
    <row r="420" spans="1:22" x14ac:dyDescent="0.25">
      <c r="A420" s="5" t="s">
        <v>487</v>
      </c>
      <c r="B420" s="18" t="s">
        <v>550</v>
      </c>
      <c r="C420" s="20" t="str">
        <f t="shared" si="51"/>
        <v>06</v>
      </c>
      <c r="D420" s="20" t="str">
        <f t="shared" si="52"/>
        <v>06</v>
      </c>
      <c r="E420" s="19" t="s">
        <v>21</v>
      </c>
      <c r="F420" s="19" t="s">
        <v>22</v>
      </c>
      <c r="G420" s="4" t="str">
        <f t="shared" si="53"/>
        <v>06/06/2021</v>
      </c>
      <c r="H420" s="19" t="s">
        <v>1</v>
      </c>
      <c r="I420" s="19" t="s">
        <v>0</v>
      </c>
      <c r="J420" s="5" t="s">
        <v>608</v>
      </c>
      <c r="K420" s="5" t="s">
        <v>55</v>
      </c>
      <c r="L420" s="22" t="str">
        <f>+VLOOKUP(K420,'[2]BASE DE PROVEEDORES'!$A:$B,2,0)</f>
        <v xml:space="preserve">DISTRIBUIDORA DE LUBRICANTES Y COMBUSTIBLES S.A DE C.V </v>
      </c>
      <c r="M420" s="25">
        <f>7.08+3.54</f>
        <v>10.620000000000001</v>
      </c>
      <c r="N420" s="5" t="s">
        <v>2</v>
      </c>
      <c r="O420" s="5" t="s">
        <v>2</v>
      </c>
      <c r="P420" s="6">
        <v>84.34</v>
      </c>
      <c r="Q420" s="5" t="s">
        <v>2</v>
      </c>
      <c r="R420" s="18" t="s">
        <v>2</v>
      </c>
      <c r="S420" s="18" t="s">
        <v>2</v>
      </c>
      <c r="T420" s="12">
        <f t="shared" si="55"/>
        <v>10.9642</v>
      </c>
      <c r="U420" s="13">
        <f t="shared" si="54"/>
        <v>105.92420000000001</v>
      </c>
      <c r="V420" s="19" t="s">
        <v>3</v>
      </c>
    </row>
    <row r="421" spans="1:22" x14ac:dyDescent="0.25">
      <c r="A421" s="5" t="s">
        <v>487</v>
      </c>
      <c r="B421" s="18" t="s">
        <v>609</v>
      </c>
      <c r="C421" s="20" t="str">
        <f t="shared" si="51"/>
        <v>04</v>
      </c>
      <c r="D421" s="20" t="str">
        <f t="shared" si="52"/>
        <v>06</v>
      </c>
      <c r="E421" s="19" t="s">
        <v>21</v>
      </c>
      <c r="F421" s="19" t="s">
        <v>22</v>
      </c>
      <c r="G421" s="4" t="str">
        <f t="shared" si="53"/>
        <v>04/06/2021</v>
      </c>
      <c r="H421" s="19" t="s">
        <v>1</v>
      </c>
      <c r="I421" s="19" t="s">
        <v>0</v>
      </c>
      <c r="J421" s="5" t="s">
        <v>610</v>
      </c>
      <c r="K421" s="5" t="s">
        <v>55</v>
      </c>
      <c r="L421" s="22" t="str">
        <f>+VLOOKUP(K421,'[2]BASE DE PROVEEDORES'!$A:$B,2,0)</f>
        <v xml:space="preserve">DISTRIBUIDORA DE LUBRICANTES Y COMBUSTIBLES S.A DE C.V </v>
      </c>
      <c r="M421" s="25">
        <v>4.5</v>
      </c>
      <c r="N421" s="5" t="s">
        <v>2</v>
      </c>
      <c r="O421" s="5" t="s">
        <v>2</v>
      </c>
      <c r="P421" s="6">
        <v>35.67</v>
      </c>
      <c r="Q421" s="5" t="s">
        <v>2</v>
      </c>
      <c r="R421" s="18" t="s">
        <v>2</v>
      </c>
      <c r="S421" s="18" t="s">
        <v>2</v>
      </c>
      <c r="T421" s="12">
        <f t="shared" si="55"/>
        <v>4.6371000000000002</v>
      </c>
      <c r="U421" s="13">
        <f t="shared" si="54"/>
        <v>44.807100000000005</v>
      </c>
      <c r="V421" s="19" t="s">
        <v>3</v>
      </c>
    </row>
    <row r="422" spans="1:22" x14ac:dyDescent="0.25">
      <c r="A422" s="5" t="s">
        <v>487</v>
      </c>
      <c r="B422" s="18" t="s">
        <v>532</v>
      </c>
      <c r="C422" s="20" t="str">
        <f t="shared" si="51"/>
        <v>09</v>
      </c>
      <c r="D422" s="20" t="str">
        <f t="shared" si="52"/>
        <v>06</v>
      </c>
      <c r="E422" s="19" t="s">
        <v>21</v>
      </c>
      <c r="F422" s="19" t="s">
        <v>22</v>
      </c>
      <c r="G422" s="4" t="str">
        <f t="shared" si="53"/>
        <v>09/06/2021</v>
      </c>
      <c r="H422" s="19" t="s">
        <v>1</v>
      </c>
      <c r="I422" s="19" t="s">
        <v>0</v>
      </c>
      <c r="J422" s="5" t="s">
        <v>611</v>
      </c>
      <c r="K422" s="5" t="s">
        <v>55</v>
      </c>
      <c r="L422" s="22" t="str">
        <f>+VLOOKUP(K422,'[2]BASE DE PROVEEDORES'!$A:$B,2,0)</f>
        <v xml:space="preserve">DISTRIBUIDORA DE LUBRICANTES Y COMBUSTIBLES S.A DE C.V </v>
      </c>
      <c r="M422" s="25">
        <f>2.68+1.33</f>
        <v>4.01</v>
      </c>
      <c r="N422" s="5" t="s">
        <v>2</v>
      </c>
      <c r="O422" s="5" t="s">
        <v>2</v>
      </c>
      <c r="P422" s="6">
        <v>31.9</v>
      </c>
      <c r="Q422" s="5" t="s">
        <v>2</v>
      </c>
      <c r="R422" s="18" t="s">
        <v>2</v>
      </c>
      <c r="S422" s="18" t="s">
        <v>2</v>
      </c>
      <c r="T422" s="12">
        <f t="shared" si="55"/>
        <v>4.1470000000000002</v>
      </c>
      <c r="U422" s="13">
        <f t="shared" si="54"/>
        <v>40.056999999999995</v>
      </c>
      <c r="V422" s="19" t="s">
        <v>3</v>
      </c>
    </row>
    <row r="423" spans="1:22" x14ac:dyDescent="0.25">
      <c r="A423" s="5" t="s">
        <v>487</v>
      </c>
      <c r="B423" s="18" t="s">
        <v>517</v>
      </c>
      <c r="C423" s="20" t="str">
        <f t="shared" si="51"/>
        <v>10</v>
      </c>
      <c r="D423" s="20" t="str">
        <f t="shared" si="52"/>
        <v>06</v>
      </c>
      <c r="E423" s="19" t="s">
        <v>21</v>
      </c>
      <c r="F423" s="19" t="s">
        <v>22</v>
      </c>
      <c r="G423" s="4" t="str">
        <f t="shared" si="53"/>
        <v>10/06/2021</v>
      </c>
      <c r="H423" s="19" t="s">
        <v>1</v>
      </c>
      <c r="I423" s="19" t="s">
        <v>0</v>
      </c>
      <c r="J423" s="5" t="s">
        <v>612</v>
      </c>
      <c r="K423" s="5" t="s">
        <v>55</v>
      </c>
      <c r="L423" s="22" t="str">
        <f>+VLOOKUP(K423,'[2]BASE DE PROVEEDORES'!$A:$B,2,0)</f>
        <v xml:space="preserve">DISTRIBUIDORA DE LUBRICANTES Y COMBUSTIBLES S.A DE C.V </v>
      </c>
      <c r="M423" s="25">
        <f>6.51+3.25</f>
        <v>9.76</v>
      </c>
      <c r="N423" s="5" t="s">
        <v>2</v>
      </c>
      <c r="O423" s="5" t="s">
        <v>2</v>
      </c>
      <c r="P423" s="6">
        <v>77.59</v>
      </c>
      <c r="Q423" s="5" t="s">
        <v>2</v>
      </c>
      <c r="R423" s="18" t="s">
        <v>2</v>
      </c>
      <c r="S423" s="18" t="s">
        <v>2</v>
      </c>
      <c r="T423" s="12">
        <f t="shared" si="55"/>
        <v>10.0867</v>
      </c>
      <c r="U423" s="13">
        <f t="shared" si="54"/>
        <v>97.436700000000002</v>
      </c>
      <c r="V423" s="19" t="s">
        <v>3</v>
      </c>
    </row>
    <row r="424" spans="1:22" x14ac:dyDescent="0.25">
      <c r="A424" s="5" t="s">
        <v>487</v>
      </c>
      <c r="B424" s="18" t="s">
        <v>544</v>
      </c>
      <c r="C424" s="20" t="str">
        <f t="shared" si="51"/>
        <v>02</v>
      </c>
      <c r="D424" s="20" t="str">
        <f t="shared" si="52"/>
        <v>06</v>
      </c>
      <c r="E424" s="19" t="s">
        <v>21</v>
      </c>
      <c r="F424" s="19" t="s">
        <v>22</v>
      </c>
      <c r="G424" s="4" t="str">
        <f t="shared" si="53"/>
        <v>02/06/2021</v>
      </c>
      <c r="H424" s="19" t="s">
        <v>1</v>
      </c>
      <c r="I424" s="19" t="s">
        <v>0</v>
      </c>
      <c r="J424" s="5" t="s">
        <v>613</v>
      </c>
      <c r="K424" s="5" t="s">
        <v>55</v>
      </c>
      <c r="L424" s="22" t="str">
        <f>+VLOOKUP(K424,'[2]BASE DE PROVEEDORES'!$A:$B,2,0)</f>
        <v xml:space="preserve">DISTRIBUIDORA DE LUBRICANTES Y COMBUSTIBLES S.A DE C.V </v>
      </c>
      <c r="M424" s="25">
        <f>6.59+3.29</f>
        <v>9.879999999999999</v>
      </c>
      <c r="N424" s="5" t="s">
        <v>2</v>
      </c>
      <c r="O424" s="5" t="s">
        <v>2</v>
      </c>
      <c r="P424" s="6">
        <v>78.52</v>
      </c>
      <c r="Q424" s="5" t="s">
        <v>2</v>
      </c>
      <c r="R424" s="18" t="s">
        <v>2</v>
      </c>
      <c r="S424" s="18" t="s">
        <v>2</v>
      </c>
      <c r="T424" s="12">
        <f t="shared" si="55"/>
        <v>10.207599999999999</v>
      </c>
      <c r="U424" s="13">
        <f t="shared" si="54"/>
        <v>98.607599999999991</v>
      </c>
      <c r="V424" s="19" t="s">
        <v>3</v>
      </c>
    </row>
    <row r="425" spans="1:22" x14ac:dyDescent="0.25">
      <c r="A425" s="5" t="s">
        <v>487</v>
      </c>
      <c r="B425" s="18" t="s">
        <v>297</v>
      </c>
      <c r="C425" s="20" t="str">
        <f t="shared" si="51"/>
        <v>23</v>
      </c>
      <c r="D425" s="20" t="str">
        <f t="shared" si="52"/>
        <v>05</v>
      </c>
      <c r="E425" s="19" t="s">
        <v>21</v>
      </c>
      <c r="F425" s="19" t="s">
        <v>22</v>
      </c>
      <c r="G425" s="4" t="str">
        <f t="shared" si="53"/>
        <v>23/05/2021</v>
      </c>
      <c r="H425" s="19" t="s">
        <v>1</v>
      </c>
      <c r="I425" s="19" t="s">
        <v>0</v>
      </c>
      <c r="J425" s="5" t="s">
        <v>614</v>
      </c>
      <c r="K425" s="5" t="s">
        <v>55</v>
      </c>
      <c r="L425" s="22" t="str">
        <f>+VLOOKUP(K425,'[2]BASE DE PROVEEDORES'!$A:$B,2,0)</f>
        <v xml:space="preserve">DISTRIBUIDORA DE LUBRICANTES Y COMBUSTIBLES S.A DE C.V </v>
      </c>
      <c r="M425" s="25">
        <f>18+9</f>
        <v>27</v>
      </c>
      <c r="N425" s="5" t="s">
        <v>2</v>
      </c>
      <c r="O425" s="5" t="s">
        <v>2</v>
      </c>
      <c r="P425" s="6">
        <v>209.07</v>
      </c>
      <c r="Q425" s="5" t="s">
        <v>2</v>
      </c>
      <c r="R425" s="18" t="s">
        <v>2</v>
      </c>
      <c r="S425" s="18" t="s">
        <v>2</v>
      </c>
      <c r="T425" s="12">
        <f t="shared" si="55"/>
        <v>27.179100000000002</v>
      </c>
      <c r="U425" s="13">
        <f t="shared" si="54"/>
        <v>263.2491</v>
      </c>
      <c r="V425" s="19" t="s">
        <v>3</v>
      </c>
    </row>
    <row r="426" spans="1:22" x14ac:dyDescent="0.25">
      <c r="A426" s="5" t="s">
        <v>487</v>
      </c>
      <c r="B426" s="18" t="s">
        <v>297</v>
      </c>
      <c r="C426" s="20" t="str">
        <f t="shared" si="51"/>
        <v>23</v>
      </c>
      <c r="D426" s="20" t="str">
        <f t="shared" si="52"/>
        <v>05</v>
      </c>
      <c r="E426" s="19" t="s">
        <v>21</v>
      </c>
      <c r="F426" s="19" t="s">
        <v>22</v>
      </c>
      <c r="G426" s="4" t="str">
        <f t="shared" si="53"/>
        <v>23/05/2021</v>
      </c>
      <c r="H426" s="19" t="s">
        <v>1</v>
      </c>
      <c r="I426" s="19" t="s">
        <v>0</v>
      </c>
      <c r="J426" s="5" t="s">
        <v>615</v>
      </c>
      <c r="K426" s="5" t="s">
        <v>55</v>
      </c>
      <c r="L426" s="22" t="str">
        <f>+VLOOKUP(K426,'[2]BASE DE PROVEEDORES'!$A:$B,2,0)</f>
        <v xml:space="preserve">DISTRIBUIDORA DE LUBRICANTES Y COMBUSTIBLES S.A DE C.V </v>
      </c>
      <c r="M426" s="25">
        <f>18.28+9.14</f>
        <v>27.42</v>
      </c>
      <c r="N426" s="5" t="s">
        <v>2</v>
      </c>
      <c r="O426" s="5" t="s">
        <v>2</v>
      </c>
      <c r="P426" s="6">
        <v>212.33</v>
      </c>
      <c r="Q426" s="5" t="s">
        <v>2</v>
      </c>
      <c r="R426" s="18" t="s">
        <v>2</v>
      </c>
      <c r="S426" s="18" t="s">
        <v>2</v>
      </c>
      <c r="T426" s="12">
        <f t="shared" si="55"/>
        <v>27.602900000000002</v>
      </c>
      <c r="U426" s="13">
        <f t="shared" si="54"/>
        <v>267.35289999999998</v>
      </c>
      <c r="V426" s="19" t="s">
        <v>3</v>
      </c>
    </row>
    <row r="427" spans="1:22" x14ac:dyDescent="0.25">
      <c r="A427" s="5" t="s">
        <v>487</v>
      </c>
      <c r="B427" s="18" t="s">
        <v>297</v>
      </c>
      <c r="C427" s="20" t="str">
        <f t="shared" si="51"/>
        <v>23</v>
      </c>
      <c r="D427" s="20" t="str">
        <f t="shared" si="52"/>
        <v>05</v>
      </c>
      <c r="E427" s="19" t="s">
        <v>21</v>
      </c>
      <c r="F427" s="19" t="s">
        <v>22</v>
      </c>
      <c r="G427" s="4" t="str">
        <f t="shared" si="53"/>
        <v>23/05/2021</v>
      </c>
      <c r="H427" s="19" t="s">
        <v>1</v>
      </c>
      <c r="I427" s="19" t="s">
        <v>0</v>
      </c>
      <c r="J427" s="5" t="s">
        <v>616</v>
      </c>
      <c r="K427" s="5" t="s">
        <v>55</v>
      </c>
      <c r="L427" s="22" t="str">
        <f>+VLOOKUP(K427,'[2]BASE DE PROVEEDORES'!$A:$B,2,0)</f>
        <v xml:space="preserve">DISTRIBUIDORA DE LUBRICANTES Y COMBUSTIBLES S.A DE C.V </v>
      </c>
      <c r="M427" s="25">
        <v>10.5</v>
      </c>
      <c r="N427" s="5" t="s">
        <v>2</v>
      </c>
      <c r="O427" s="5" t="s">
        <v>2</v>
      </c>
      <c r="P427" s="6">
        <v>81.3</v>
      </c>
      <c r="Q427" s="5" t="s">
        <v>2</v>
      </c>
      <c r="R427" s="18" t="s">
        <v>2</v>
      </c>
      <c r="S427" s="18" t="s">
        <v>2</v>
      </c>
      <c r="T427" s="12">
        <f t="shared" si="55"/>
        <v>10.569000000000001</v>
      </c>
      <c r="U427" s="13">
        <f t="shared" si="54"/>
        <v>102.369</v>
      </c>
      <c r="V427" s="19" t="s">
        <v>3</v>
      </c>
    </row>
    <row r="428" spans="1:22" x14ac:dyDescent="0.25">
      <c r="A428" s="5" t="s">
        <v>487</v>
      </c>
      <c r="B428" s="18" t="s">
        <v>297</v>
      </c>
      <c r="C428" s="20" t="str">
        <f t="shared" si="51"/>
        <v>23</v>
      </c>
      <c r="D428" s="20" t="str">
        <f t="shared" si="52"/>
        <v>05</v>
      </c>
      <c r="E428" s="19" t="s">
        <v>21</v>
      </c>
      <c r="F428" s="19" t="s">
        <v>22</v>
      </c>
      <c r="G428" s="4" t="str">
        <f t="shared" si="53"/>
        <v>23/05/2021</v>
      </c>
      <c r="H428" s="19" t="s">
        <v>1</v>
      </c>
      <c r="I428" s="19" t="s">
        <v>0</v>
      </c>
      <c r="J428" s="5" t="s">
        <v>617</v>
      </c>
      <c r="K428" s="5" t="s">
        <v>55</v>
      </c>
      <c r="L428" s="22" t="str">
        <f>+VLOOKUP(K428,'[2]BASE DE PROVEEDORES'!$A:$B,2,0)</f>
        <v xml:space="preserve">DISTRIBUIDORA DE LUBRICANTES Y COMBUSTIBLES S.A DE C.V </v>
      </c>
      <c r="M428" s="25">
        <v>4.08</v>
      </c>
      <c r="N428" s="5" t="s">
        <v>2</v>
      </c>
      <c r="O428" s="5" t="s">
        <v>2</v>
      </c>
      <c r="P428" s="6">
        <v>31.58</v>
      </c>
      <c r="Q428" s="5" t="s">
        <v>2</v>
      </c>
      <c r="R428" s="18" t="s">
        <v>2</v>
      </c>
      <c r="S428" s="18" t="s">
        <v>2</v>
      </c>
      <c r="T428" s="12">
        <f t="shared" si="55"/>
        <v>4.1053999999999995</v>
      </c>
      <c r="U428" s="13">
        <f t="shared" si="54"/>
        <v>39.7654</v>
      </c>
      <c r="V428" s="19" t="s">
        <v>3</v>
      </c>
    </row>
    <row r="429" spans="1:22" x14ac:dyDescent="0.25">
      <c r="A429" s="5" t="s">
        <v>487</v>
      </c>
      <c r="B429" s="18" t="s">
        <v>264</v>
      </c>
      <c r="C429" s="20" t="str">
        <f t="shared" si="51"/>
        <v>24</v>
      </c>
      <c r="D429" s="20" t="str">
        <f t="shared" si="52"/>
        <v>05</v>
      </c>
      <c r="E429" s="19" t="s">
        <v>21</v>
      </c>
      <c r="F429" s="19" t="s">
        <v>22</v>
      </c>
      <c r="G429" s="4" t="str">
        <f t="shared" si="53"/>
        <v>24/05/2021</v>
      </c>
      <c r="H429" s="19" t="s">
        <v>1</v>
      </c>
      <c r="I429" s="19" t="s">
        <v>0</v>
      </c>
      <c r="J429" s="5" t="s">
        <v>618</v>
      </c>
      <c r="K429" s="5" t="s">
        <v>55</v>
      </c>
      <c r="L429" s="22" t="str">
        <f>+VLOOKUP(K429,'[2]BASE DE PROVEEDORES'!$A:$B,2,0)</f>
        <v xml:space="preserve">DISTRIBUIDORA DE LUBRICANTES Y COMBUSTIBLES S.A DE C.V </v>
      </c>
      <c r="M429" s="25">
        <v>5.56</v>
      </c>
      <c r="N429" s="5" t="s">
        <v>2</v>
      </c>
      <c r="O429" s="5" t="s">
        <v>2</v>
      </c>
      <c r="P429" s="6">
        <v>43</v>
      </c>
      <c r="Q429" s="5" t="s">
        <v>2</v>
      </c>
      <c r="R429" s="18" t="s">
        <v>2</v>
      </c>
      <c r="S429" s="18" t="s">
        <v>2</v>
      </c>
      <c r="T429" s="12">
        <f t="shared" si="55"/>
        <v>5.59</v>
      </c>
      <c r="U429" s="13">
        <f t="shared" si="54"/>
        <v>54.150000000000006</v>
      </c>
      <c r="V429" s="19" t="s">
        <v>3</v>
      </c>
    </row>
    <row r="430" spans="1:22" x14ac:dyDescent="0.25">
      <c r="A430" s="5" t="s">
        <v>487</v>
      </c>
      <c r="B430" s="18" t="s">
        <v>264</v>
      </c>
      <c r="C430" s="20" t="str">
        <f t="shared" si="51"/>
        <v>24</v>
      </c>
      <c r="D430" s="20" t="str">
        <f t="shared" si="52"/>
        <v>05</v>
      </c>
      <c r="E430" s="19" t="s">
        <v>21</v>
      </c>
      <c r="F430" s="19" t="s">
        <v>22</v>
      </c>
      <c r="G430" s="4" t="str">
        <f t="shared" si="53"/>
        <v>24/05/2021</v>
      </c>
      <c r="H430" s="19" t="s">
        <v>1</v>
      </c>
      <c r="I430" s="19" t="s">
        <v>0</v>
      </c>
      <c r="J430" s="5" t="s">
        <v>619</v>
      </c>
      <c r="K430" s="5" t="s">
        <v>55</v>
      </c>
      <c r="L430" s="22" t="str">
        <f>+VLOOKUP(K430,'[2]BASE DE PROVEEDORES'!$A:$B,2,0)</f>
        <v xml:space="preserve">DISTRIBUIDORA DE LUBRICANTES Y COMBUSTIBLES S.A DE C.V </v>
      </c>
      <c r="M430" s="25">
        <f>18.6+9.3</f>
        <v>27.900000000000002</v>
      </c>
      <c r="N430" s="5" t="s">
        <v>2</v>
      </c>
      <c r="O430" s="5" t="s">
        <v>2</v>
      </c>
      <c r="P430" s="6">
        <v>216.04</v>
      </c>
      <c r="Q430" s="5" t="s">
        <v>2</v>
      </c>
      <c r="R430" s="18" t="s">
        <v>2</v>
      </c>
      <c r="S430" s="18" t="s">
        <v>2</v>
      </c>
      <c r="T430" s="12">
        <f t="shared" si="55"/>
        <v>28.0852</v>
      </c>
      <c r="U430" s="13">
        <f t="shared" si="54"/>
        <v>272.02519999999998</v>
      </c>
      <c r="V430" s="19" t="s">
        <v>3</v>
      </c>
    </row>
    <row r="431" spans="1:22" x14ac:dyDescent="0.25">
      <c r="A431" s="5" t="s">
        <v>487</v>
      </c>
      <c r="B431" s="18" t="s">
        <v>490</v>
      </c>
      <c r="C431" s="20" t="str">
        <f t="shared" si="51"/>
        <v>18</v>
      </c>
      <c r="D431" s="20" t="str">
        <f t="shared" si="52"/>
        <v>06</v>
      </c>
      <c r="E431" s="19" t="s">
        <v>21</v>
      </c>
      <c r="F431" s="19" t="s">
        <v>22</v>
      </c>
      <c r="G431" s="4" t="str">
        <f t="shared" si="53"/>
        <v>18/06/2021</v>
      </c>
      <c r="H431" s="19" t="s">
        <v>1</v>
      </c>
      <c r="I431" s="19" t="s">
        <v>0</v>
      </c>
      <c r="J431" s="5" t="s">
        <v>620</v>
      </c>
      <c r="K431" s="5" t="s">
        <v>55</v>
      </c>
      <c r="L431" s="22" t="str">
        <f>+VLOOKUP(K431,'[2]BASE DE PROVEEDORES'!$A:$B,2,0)</f>
        <v xml:space="preserve">DISTRIBUIDORA DE LUBRICANTES Y COMBUSTIBLES S.A DE C.V </v>
      </c>
      <c r="M431" s="25">
        <f>3.51+1.75</f>
        <v>5.26</v>
      </c>
      <c r="N431" s="5" t="s">
        <v>2</v>
      </c>
      <c r="O431" s="5" t="s">
        <v>2</v>
      </c>
      <c r="P431" s="6">
        <v>42.51</v>
      </c>
      <c r="Q431" s="5" t="s">
        <v>2</v>
      </c>
      <c r="R431" s="18" t="s">
        <v>2</v>
      </c>
      <c r="S431" s="18" t="s">
        <v>2</v>
      </c>
      <c r="T431" s="12">
        <f t="shared" si="55"/>
        <v>5.5263</v>
      </c>
      <c r="U431" s="13">
        <f t="shared" si="54"/>
        <v>53.296299999999995</v>
      </c>
      <c r="V431" s="19" t="s">
        <v>3</v>
      </c>
    </row>
    <row r="432" spans="1:22" x14ac:dyDescent="0.25">
      <c r="A432" s="5" t="s">
        <v>487</v>
      </c>
      <c r="B432" s="18" t="s">
        <v>621</v>
      </c>
      <c r="C432" s="20" t="str">
        <f t="shared" si="51"/>
        <v>21</v>
      </c>
      <c r="D432" s="20" t="str">
        <f t="shared" si="52"/>
        <v>06</v>
      </c>
      <c r="E432" s="19" t="s">
        <v>21</v>
      </c>
      <c r="F432" s="19" t="s">
        <v>22</v>
      </c>
      <c r="G432" s="4" t="str">
        <f t="shared" si="53"/>
        <v>21/06/2021</v>
      </c>
      <c r="H432" s="19" t="s">
        <v>1</v>
      </c>
      <c r="I432" s="19" t="s">
        <v>0</v>
      </c>
      <c r="J432" s="5" t="s">
        <v>622</v>
      </c>
      <c r="K432" s="5" t="s">
        <v>55</v>
      </c>
      <c r="L432" s="22" t="str">
        <f>+VLOOKUP(K432,'[2]BASE DE PROVEEDORES'!$A:$B,2,0)</f>
        <v xml:space="preserve">DISTRIBUIDORA DE LUBRICANTES Y COMBUSTIBLES S.A DE C.V </v>
      </c>
      <c r="M432" s="25">
        <f>1.57+0.79</f>
        <v>2.3600000000000003</v>
      </c>
      <c r="N432" s="5" t="s">
        <v>2</v>
      </c>
      <c r="O432" s="5" t="s">
        <v>2</v>
      </c>
      <c r="P432" s="6">
        <v>23.66</v>
      </c>
      <c r="Q432" s="5" t="s">
        <v>2</v>
      </c>
      <c r="R432" s="18" t="s">
        <v>2</v>
      </c>
      <c r="S432" s="18" t="s">
        <v>2</v>
      </c>
      <c r="T432" s="12">
        <f t="shared" si="55"/>
        <v>3.0758000000000001</v>
      </c>
      <c r="U432" s="13">
        <f t="shared" si="54"/>
        <v>29.095800000000001</v>
      </c>
      <c r="V432" s="19" t="s">
        <v>3</v>
      </c>
    </row>
    <row r="433" spans="1:22" x14ac:dyDescent="0.25">
      <c r="A433" s="5" t="s">
        <v>487</v>
      </c>
      <c r="B433" s="18" t="s">
        <v>258</v>
      </c>
      <c r="C433" s="20" t="str">
        <f t="shared" si="51"/>
        <v>26</v>
      </c>
      <c r="D433" s="20" t="str">
        <f t="shared" si="52"/>
        <v>05</v>
      </c>
      <c r="E433" s="19" t="s">
        <v>21</v>
      </c>
      <c r="F433" s="19" t="s">
        <v>22</v>
      </c>
      <c r="G433" s="4" t="str">
        <f t="shared" si="53"/>
        <v>26/05/2021</v>
      </c>
      <c r="H433" s="19" t="s">
        <v>1</v>
      </c>
      <c r="I433" s="19" t="s">
        <v>0</v>
      </c>
      <c r="J433" s="5" t="s">
        <v>623</v>
      </c>
      <c r="K433" s="5" t="s">
        <v>55</v>
      </c>
      <c r="L433" s="22" t="str">
        <f>+VLOOKUP(K433,'[2]BASE DE PROVEEDORES'!$A:$B,2,0)</f>
        <v xml:space="preserve">DISTRIBUIDORA DE LUBRICANTES Y COMBUSTIBLES S.A DE C.V </v>
      </c>
      <c r="M433" s="25">
        <f>10.63+5.32</f>
        <v>15.950000000000001</v>
      </c>
      <c r="N433" s="5" t="s">
        <v>2</v>
      </c>
      <c r="O433" s="5" t="s">
        <v>2</v>
      </c>
      <c r="P433" s="6">
        <v>123.55</v>
      </c>
      <c r="Q433" s="5" t="s">
        <v>2</v>
      </c>
      <c r="R433" s="18" t="s">
        <v>2</v>
      </c>
      <c r="S433" s="18" t="s">
        <v>2</v>
      </c>
      <c r="T433" s="12">
        <f t="shared" si="55"/>
        <v>16.061499999999999</v>
      </c>
      <c r="U433" s="13">
        <f t="shared" si="54"/>
        <v>155.5615</v>
      </c>
      <c r="V433" s="19" t="s">
        <v>3</v>
      </c>
    </row>
    <row r="434" spans="1:22" x14ac:dyDescent="0.25">
      <c r="A434" s="5" t="s">
        <v>487</v>
      </c>
      <c r="B434" s="18" t="s">
        <v>609</v>
      </c>
      <c r="C434" s="20" t="str">
        <f t="shared" si="51"/>
        <v>04</v>
      </c>
      <c r="D434" s="20" t="str">
        <f t="shared" si="52"/>
        <v>06</v>
      </c>
      <c r="E434" s="19" t="s">
        <v>21</v>
      </c>
      <c r="F434" s="19" t="s">
        <v>22</v>
      </c>
      <c r="G434" s="4" t="str">
        <f t="shared" si="53"/>
        <v>04/06/2021</v>
      </c>
      <c r="H434" s="19" t="s">
        <v>1</v>
      </c>
      <c r="I434" s="19" t="s">
        <v>0</v>
      </c>
      <c r="J434" s="5" t="s">
        <v>624</v>
      </c>
      <c r="K434" s="5" t="s">
        <v>55</v>
      </c>
      <c r="L434" s="22" t="str">
        <f>+VLOOKUP(K434,'[2]BASE DE PROVEEDORES'!$A:$B,2,0)</f>
        <v xml:space="preserve">DISTRIBUIDORA DE LUBRICANTES Y COMBUSTIBLES S.A DE C.V </v>
      </c>
      <c r="M434" s="25">
        <f>3.11+1.55</f>
        <v>4.66</v>
      </c>
      <c r="N434" s="5" t="s">
        <v>2</v>
      </c>
      <c r="O434" s="5" t="s">
        <v>2</v>
      </c>
      <c r="P434" s="6">
        <v>36.99</v>
      </c>
      <c r="Q434" s="5" t="s">
        <v>2</v>
      </c>
      <c r="R434" s="18" t="s">
        <v>2</v>
      </c>
      <c r="S434" s="18" t="s">
        <v>2</v>
      </c>
      <c r="T434" s="12">
        <f t="shared" si="55"/>
        <v>4.8087000000000009</v>
      </c>
      <c r="U434" s="13">
        <f t="shared" si="54"/>
        <v>46.458700000000007</v>
      </c>
      <c r="V434" s="19" t="s">
        <v>3</v>
      </c>
    </row>
    <row r="435" spans="1:22" x14ac:dyDescent="0.25">
      <c r="A435" s="5" t="s">
        <v>487</v>
      </c>
      <c r="B435" s="18" t="s">
        <v>548</v>
      </c>
      <c r="C435" s="20" t="str">
        <f t="shared" si="51"/>
        <v>05</v>
      </c>
      <c r="D435" s="20" t="str">
        <f t="shared" si="52"/>
        <v>06</v>
      </c>
      <c r="E435" s="19" t="s">
        <v>21</v>
      </c>
      <c r="F435" s="19" t="s">
        <v>22</v>
      </c>
      <c r="G435" s="4" t="str">
        <f t="shared" si="53"/>
        <v>05/06/2021</v>
      </c>
      <c r="H435" s="19" t="s">
        <v>1</v>
      </c>
      <c r="I435" s="19" t="s">
        <v>0</v>
      </c>
      <c r="J435" s="5" t="s">
        <v>625</v>
      </c>
      <c r="K435" s="5" t="s">
        <v>386</v>
      </c>
      <c r="L435" s="22" t="str">
        <f>+VLOOKUP(K435,'[2]BASE DE PROVEEDORES'!$A:$B,2,0)</f>
        <v>LUIS ALFREDO VENTURA ELVIR</v>
      </c>
      <c r="M435" s="25">
        <f>0.89+0.45</f>
        <v>1.34</v>
      </c>
      <c r="N435" s="5" t="s">
        <v>2</v>
      </c>
      <c r="O435" s="5" t="s">
        <v>2</v>
      </c>
      <c r="P435" s="6">
        <v>11.2</v>
      </c>
      <c r="Q435" s="5" t="s">
        <v>2</v>
      </c>
      <c r="R435" s="18" t="s">
        <v>2</v>
      </c>
      <c r="S435" s="18" t="s">
        <v>2</v>
      </c>
      <c r="T435" s="12">
        <f t="shared" si="55"/>
        <v>1.456</v>
      </c>
      <c r="U435" s="13">
        <f t="shared" si="54"/>
        <v>13.995999999999999</v>
      </c>
      <c r="V435" s="19" t="s">
        <v>3</v>
      </c>
    </row>
    <row r="436" spans="1:22" x14ac:dyDescent="0.25">
      <c r="A436" s="5" t="s">
        <v>487</v>
      </c>
      <c r="B436" s="18" t="s">
        <v>488</v>
      </c>
      <c r="C436" s="20" t="str">
        <f t="shared" si="51"/>
        <v>07</v>
      </c>
      <c r="D436" s="20" t="str">
        <f t="shared" si="52"/>
        <v>06</v>
      </c>
      <c r="E436" s="19" t="s">
        <v>21</v>
      </c>
      <c r="F436" s="19" t="s">
        <v>22</v>
      </c>
      <c r="G436" s="4" t="str">
        <f t="shared" si="53"/>
        <v>07/06/2021</v>
      </c>
      <c r="H436" s="19" t="s">
        <v>1</v>
      </c>
      <c r="I436" s="19" t="s">
        <v>0</v>
      </c>
      <c r="J436" s="5" t="s">
        <v>626</v>
      </c>
      <c r="K436" s="5" t="s">
        <v>386</v>
      </c>
      <c r="L436" s="22" t="str">
        <f>+VLOOKUP(K436,'[2]BASE DE PROVEEDORES'!$A:$B,2,0)</f>
        <v>LUIS ALFREDO VENTURA ELVIR</v>
      </c>
      <c r="M436" s="25">
        <f>0.96+0.48</f>
        <v>1.44</v>
      </c>
      <c r="N436" s="5" t="s">
        <v>2</v>
      </c>
      <c r="O436" s="5" t="s">
        <v>2</v>
      </c>
      <c r="P436" s="6">
        <v>12</v>
      </c>
      <c r="Q436" s="5" t="s">
        <v>2</v>
      </c>
      <c r="R436" s="18" t="s">
        <v>2</v>
      </c>
      <c r="S436" s="18" t="s">
        <v>2</v>
      </c>
      <c r="T436" s="12">
        <f t="shared" si="55"/>
        <v>1.56</v>
      </c>
      <c r="U436" s="13">
        <f t="shared" si="54"/>
        <v>15</v>
      </c>
      <c r="V436" s="19" t="s">
        <v>3</v>
      </c>
    </row>
    <row r="437" spans="1:22" x14ac:dyDescent="0.25">
      <c r="A437" s="5" t="s">
        <v>487</v>
      </c>
      <c r="B437" s="18" t="s">
        <v>609</v>
      </c>
      <c r="C437" s="20" t="str">
        <f t="shared" si="51"/>
        <v>04</v>
      </c>
      <c r="D437" s="20" t="str">
        <f t="shared" si="52"/>
        <v>06</v>
      </c>
      <c r="E437" s="19" t="s">
        <v>21</v>
      </c>
      <c r="F437" s="19" t="s">
        <v>22</v>
      </c>
      <c r="G437" s="4" t="str">
        <f t="shared" si="53"/>
        <v>04/06/2021</v>
      </c>
      <c r="H437" s="19" t="s">
        <v>1</v>
      </c>
      <c r="I437" s="19" t="s">
        <v>0</v>
      </c>
      <c r="J437" s="5" t="s">
        <v>627</v>
      </c>
      <c r="K437" s="5" t="s">
        <v>27</v>
      </c>
      <c r="L437" s="22" t="str">
        <f>+VLOOKUP(K437,'[2]BASE DE PROVEEDORES'!$A:$B,2,0)</f>
        <v>LUIGEMI S.A DE C.V.</v>
      </c>
      <c r="M437" s="25">
        <v>4.5</v>
      </c>
      <c r="N437" s="5" t="s">
        <v>2</v>
      </c>
      <c r="O437" s="5" t="s">
        <v>2</v>
      </c>
      <c r="P437" s="6">
        <v>36.82</v>
      </c>
      <c r="Q437" s="5" t="s">
        <v>2</v>
      </c>
      <c r="R437" s="18" t="s">
        <v>2</v>
      </c>
      <c r="S437" s="18" t="s">
        <v>2</v>
      </c>
      <c r="T437" s="12">
        <f t="shared" si="55"/>
        <v>4.7866</v>
      </c>
      <c r="U437" s="13">
        <f t="shared" si="54"/>
        <v>46.1066</v>
      </c>
      <c r="V437" s="19" t="s">
        <v>3</v>
      </c>
    </row>
    <row r="438" spans="1:22" x14ac:dyDescent="0.25">
      <c r="A438" s="5" t="s">
        <v>487</v>
      </c>
      <c r="B438" s="18" t="s">
        <v>511</v>
      </c>
      <c r="C438" s="20" t="str">
        <f t="shared" si="51"/>
        <v>12</v>
      </c>
      <c r="D438" s="20" t="str">
        <f t="shared" si="52"/>
        <v>06</v>
      </c>
      <c r="E438" s="19" t="s">
        <v>21</v>
      </c>
      <c r="F438" s="19" t="s">
        <v>22</v>
      </c>
      <c r="G438" s="4" t="str">
        <f t="shared" si="53"/>
        <v>12/06/2021</v>
      </c>
      <c r="H438" s="19" t="s">
        <v>1</v>
      </c>
      <c r="I438" s="19" t="s">
        <v>0</v>
      </c>
      <c r="J438" s="5" t="s">
        <v>628</v>
      </c>
      <c r="K438" s="5" t="s">
        <v>42</v>
      </c>
      <c r="L438" s="22" t="str">
        <f>+VLOOKUP(K438,'[2]BASE DE PROVEEDORES'!$A:$B,2,0)</f>
        <v>ECSA OPERADORA EL SALVADOR S.A DE C.V.</v>
      </c>
      <c r="M438" s="25">
        <v>2.5299999999999998</v>
      </c>
      <c r="N438" s="5" t="s">
        <v>2</v>
      </c>
      <c r="O438" s="5" t="s">
        <v>2</v>
      </c>
      <c r="P438" s="6">
        <v>25.19</v>
      </c>
      <c r="Q438" s="5" t="s">
        <v>2</v>
      </c>
      <c r="R438" s="18" t="s">
        <v>2</v>
      </c>
      <c r="S438" s="18" t="s">
        <v>2</v>
      </c>
      <c r="T438" s="12">
        <f t="shared" si="55"/>
        <v>3.2747000000000002</v>
      </c>
      <c r="U438" s="13">
        <f t="shared" si="54"/>
        <v>30.994700000000002</v>
      </c>
      <c r="V438" s="19" t="s">
        <v>3</v>
      </c>
    </row>
    <row r="439" spans="1:22" x14ac:dyDescent="0.25">
      <c r="A439" s="5" t="s">
        <v>487</v>
      </c>
      <c r="B439" s="18" t="s">
        <v>526</v>
      </c>
      <c r="C439" s="20" t="str">
        <f t="shared" si="51"/>
        <v>19</v>
      </c>
      <c r="D439" s="20" t="str">
        <f t="shared" si="52"/>
        <v>06</v>
      </c>
      <c r="E439" s="19" t="s">
        <v>21</v>
      </c>
      <c r="F439" s="19" t="s">
        <v>22</v>
      </c>
      <c r="G439" s="4" t="str">
        <f t="shared" si="53"/>
        <v>19/06/2021</v>
      </c>
      <c r="H439" s="19" t="s">
        <v>1</v>
      </c>
      <c r="I439" s="19" t="s">
        <v>0</v>
      </c>
      <c r="J439" s="5" t="s">
        <v>629</v>
      </c>
      <c r="K439" s="5" t="s">
        <v>27</v>
      </c>
      <c r="L439" s="22" t="str">
        <f>+VLOOKUP(K439,'[2]BASE DE PROVEEDORES'!$A:$B,2,0)</f>
        <v>LUIGEMI S.A DE C.V.</v>
      </c>
      <c r="M439" s="25">
        <f>2.15+1.08</f>
        <v>3.23</v>
      </c>
      <c r="N439" s="5" t="s">
        <v>2</v>
      </c>
      <c r="O439" s="5" t="s">
        <v>2</v>
      </c>
      <c r="P439" s="6">
        <v>26.7</v>
      </c>
      <c r="Q439" s="5" t="s">
        <v>2</v>
      </c>
      <c r="R439" s="18" t="s">
        <v>2</v>
      </c>
      <c r="S439" s="18" t="s">
        <v>2</v>
      </c>
      <c r="T439" s="12">
        <f t="shared" si="55"/>
        <v>3.4710000000000001</v>
      </c>
      <c r="U439" s="13">
        <f t="shared" si="54"/>
        <v>33.400999999999996</v>
      </c>
      <c r="V439" s="19" t="s">
        <v>3</v>
      </c>
    </row>
    <row r="440" spans="1:22" x14ac:dyDescent="0.25">
      <c r="A440" s="5" t="s">
        <v>487</v>
      </c>
      <c r="B440" s="18" t="s">
        <v>548</v>
      </c>
      <c r="C440" s="20" t="str">
        <f t="shared" si="51"/>
        <v>05</v>
      </c>
      <c r="D440" s="20" t="str">
        <f t="shared" si="52"/>
        <v>06</v>
      </c>
      <c r="E440" s="19" t="s">
        <v>21</v>
      </c>
      <c r="F440" s="19" t="s">
        <v>22</v>
      </c>
      <c r="G440" s="4" t="str">
        <f t="shared" si="53"/>
        <v>05/06/2021</v>
      </c>
      <c r="H440" s="19" t="s">
        <v>1</v>
      </c>
      <c r="I440" s="19" t="s">
        <v>0</v>
      </c>
      <c r="J440" s="5" t="s">
        <v>630</v>
      </c>
      <c r="K440" s="5" t="s">
        <v>42</v>
      </c>
      <c r="L440" s="22" t="str">
        <f>+VLOOKUP(K440,'[2]BASE DE PROVEEDORES'!$A:$B,2,0)</f>
        <v>ECSA OPERADORA EL SALVADOR S.A DE C.V.</v>
      </c>
      <c r="M440" s="25">
        <v>5.64</v>
      </c>
      <c r="N440" s="5" t="s">
        <v>2</v>
      </c>
      <c r="O440" s="5" t="s">
        <v>2</v>
      </c>
      <c r="P440" s="6">
        <v>45.46</v>
      </c>
      <c r="Q440" s="5" t="s">
        <v>2</v>
      </c>
      <c r="R440" s="18" t="s">
        <v>2</v>
      </c>
      <c r="S440" s="18" t="s">
        <v>2</v>
      </c>
      <c r="T440" s="12">
        <f t="shared" si="55"/>
        <v>5.9098000000000006</v>
      </c>
      <c r="U440" s="13">
        <f t="shared" si="54"/>
        <v>57.009799999999998</v>
      </c>
      <c r="V440" s="19" t="s">
        <v>3</v>
      </c>
    </row>
    <row r="441" spans="1:22" x14ac:dyDescent="0.25">
      <c r="A441" s="5" t="s">
        <v>487</v>
      </c>
      <c r="B441" s="18" t="s">
        <v>621</v>
      </c>
      <c r="C441" s="20" t="str">
        <f t="shared" si="51"/>
        <v>21</v>
      </c>
      <c r="D441" s="20" t="str">
        <f t="shared" si="52"/>
        <v>06</v>
      </c>
      <c r="E441" s="19" t="s">
        <v>21</v>
      </c>
      <c r="F441" s="19" t="s">
        <v>22</v>
      </c>
      <c r="G441" s="4" t="str">
        <f t="shared" si="53"/>
        <v>21/06/2021</v>
      </c>
      <c r="H441" s="19" t="s">
        <v>1</v>
      </c>
      <c r="I441" s="19" t="s">
        <v>0</v>
      </c>
      <c r="J441" s="5" t="s">
        <v>631</v>
      </c>
      <c r="K441" s="5" t="s">
        <v>632</v>
      </c>
      <c r="L441" s="22" t="str">
        <f>+VLOOKUP(K441,'[2]BASE DE PROVEEDORES'!$A:$B,2,0)</f>
        <v>LA CASA DE LAS BATERIAS S.A DE C.V.</v>
      </c>
      <c r="M441" s="25">
        <v>0</v>
      </c>
      <c r="N441" s="5" t="s">
        <v>2</v>
      </c>
      <c r="O441" s="5" t="s">
        <v>2</v>
      </c>
      <c r="P441" s="6">
        <v>140.22</v>
      </c>
      <c r="Q441" s="5" t="s">
        <v>2</v>
      </c>
      <c r="R441" s="18" t="s">
        <v>2</v>
      </c>
      <c r="S441" s="18" t="s">
        <v>2</v>
      </c>
      <c r="T441" s="12">
        <f t="shared" si="55"/>
        <v>18.2286</v>
      </c>
      <c r="U441" s="13">
        <f t="shared" si="54"/>
        <v>158.4486</v>
      </c>
      <c r="V441" s="19" t="s">
        <v>3</v>
      </c>
    </row>
    <row r="442" spans="1:22" x14ac:dyDescent="0.25">
      <c r="A442" s="5" t="s">
        <v>487</v>
      </c>
      <c r="B442" s="18" t="s">
        <v>513</v>
      </c>
      <c r="C442" s="20" t="str">
        <f t="shared" si="51"/>
        <v>11</v>
      </c>
      <c r="D442" s="20" t="str">
        <f t="shared" si="52"/>
        <v>06</v>
      </c>
      <c r="E442" s="19" t="s">
        <v>21</v>
      </c>
      <c r="F442" s="19" t="s">
        <v>22</v>
      </c>
      <c r="G442" s="4" t="str">
        <f t="shared" si="53"/>
        <v>11/06/2021</v>
      </c>
      <c r="H442" s="19" t="s">
        <v>1</v>
      </c>
      <c r="I442" s="19" t="s">
        <v>0</v>
      </c>
      <c r="J442" s="5" t="s">
        <v>633</v>
      </c>
      <c r="K442" s="5" t="s">
        <v>27</v>
      </c>
      <c r="L442" s="22" t="str">
        <f>+VLOOKUP(K442,'[2]BASE DE PROVEEDORES'!$A:$B,2,0)</f>
        <v>LUIGEMI S.A DE C.V.</v>
      </c>
      <c r="M442" s="25">
        <f>2.08+1.04</f>
        <v>3.12</v>
      </c>
      <c r="N442" s="5" t="s">
        <v>2</v>
      </c>
      <c r="O442" s="5" t="s">
        <v>2</v>
      </c>
      <c r="P442" s="6">
        <v>25.56</v>
      </c>
      <c r="Q442" s="5" t="s">
        <v>2</v>
      </c>
      <c r="R442" s="18" t="s">
        <v>2</v>
      </c>
      <c r="S442" s="18" t="s">
        <v>2</v>
      </c>
      <c r="T442" s="12">
        <f t="shared" si="55"/>
        <v>3.3228</v>
      </c>
      <c r="U442" s="13">
        <f t="shared" si="54"/>
        <v>32.002800000000001</v>
      </c>
      <c r="V442" s="19" t="s">
        <v>3</v>
      </c>
    </row>
    <row r="443" spans="1:22" x14ac:dyDescent="0.25">
      <c r="A443" s="5" t="s">
        <v>487</v>
      </c>
      <c r="B443" s="18" t="s">
        <v>517</v>
      </c>
      <c r="C443" s="20" t="str">
        <f t="shared" si="51"/>
        <v>10</v>
      </c>
      <c r="D443" s="20" t="str">
        <f t="shared" si="52"/>
        <v>06</v>
      </c>
      <c r="E443" s="19" t="s">
        <v>21</v>
      </c>
      <c r="F443" s="19" t="s">
        <v>22</v>
      </c>
      <c r="G443" s="4" t="str">
        <f t="shared" si="53"/>
        <v>10/06/2021</v>
      </c>
      <c r="H443" s="19" t="s">
        <v>1</v>
      </c>
      <c r="I443" s="19" t="s">
        <v>0</v>
      </c>
      <c r="J443" s="5" t="s">
        <v>634</v>
      </c>
      <c r="K443" s="5" t="s">
        <v>42</v>
      </c>
      <c r="L443" s="22" t="str">
        <f>+VLOOKUP(K443,'[2]BASE DE PROVEEDORES'!$A:$B,2,0)</f>
        <v>ECSA OPERADORA EL SALVADOR S.A DE C.V.</v>
      </c>
      <c r="M443" s="25">
        <v>9.83</v>
      </c>
      <c r="N443" s="5" t="s">
        <v>2</v>
      </c>
      <c r="O443" s="5" t="s">
        <v>2</v>
      </c>
      <c r="P443" s="6">
        <v>79.13</v>
      </c>
      <c r="Q443" s="5" t="s">
        <v>2</v>
      </c>
      <c r="R443" s="18" t="s">
        <v>2</v>
      </c>
      <c r="S443" s="18" t="s">
        <v>2</v>
      </c>
      <c r="T443" s="12">
        <f t="shared" si="55"/>
        <v>10.286899999999999</v>
      </c>
      <c r="U443" s="13">
        <f t="shared" si="54"/>
        <v>99.246899999999997</v>
      </c>
      <c r="V443" s="19" t="s">
        <v>3</v>
      </c>
    </row>
    <row r="444" spans="1:22" x14ac:dyDescent="0.25">
      <c r="A444" s="5" t="s">
        <v>487</v>
      </c>
      <c r="B444" s="18" t="s">
        <v>544</v>
      </c>
      <c r="C444" s="20" t="str">
        <f t="shared" si="51"/>
        <v>02</v>
      </c>
      <c r="D444" s="20" t="str">
        <f t="shared" si="52"/>
        <v>06</v>
      </c>
      <c r="E444" s="19" t="s">
        <v>21</v>
      </c>
      <c r="F444" s="19" t="s">
        <v>22</v>
      </c>
      <c r="G444" s="4" t="str">
        <f t="shared" si="53"/>
        <v>02/06/2021</v>
      </c>
      <c r="H444" s="19" t="s">
        <v>1</v>
      </c>
      <c r="I444" s="19" t="s">
        <v>0</v>
      </c>
      <c r="J444" s="5" t="s">
        <v>635</v>
      </c>
      <c r="K444" s="5" t="s">
        <v>42</v>
      </c>
      <c r="L444" s="22" t="str">
        <f>+VLOOKUP(K444,'[2]BASE DE PROVEEDORES'!$A:$B,2,0)</f>
        <v>ECSA OPERADORA EL SALVADOR S.A DE C.V.</v>
      </c>
      <c r="M444" s="25">
        <v>4.54</v>
      </c>
      <c r="N444" s="5" t="s">
        <v>2</v>
      </c>
      <c r="O444" s="5" t="s">
        <v>2</v>
      </c>
      <c r="P444" s="6">
        <v>36.58</v>
      </c>
      <c r="Q444" s="5" t="s">
        <v>2</v>
      </c>
      <c r="R444" s="18" t="s">
        <v>2</v>
      </c>
      <c r="S444" s="18" t="s">
        <v>2</v>
      </c>
      <c r="T444" s="12">
        <f t="shared" si="55"/>
        <v>4.7553999999999998</v>
      </c>
      <c r="U444" s="13">
        <f t="shared" si="54"/>
        <v>45.875399999999999</v>
      </c>
      <c r="V444" s="19" t="s">
        <v>3</v>
      </c>
    </row>
    <row r="445" spans="1:22" x14ac:dyDescent="0.25">
      <c r="A445" s="5" t="s">
        <v>487</v>
      </c>
      <c r="B445" s="18" t="s">
        <v>544</v>
      </c>
      <c r="C445" s="20" t="str">
        <f t="shared" si="51"/>
        <v>02</v>
      </c>
      <c r="D445" s="20" t="str">
        <f t="shared" si="52"/>
        <v>06</v>
      </c>
      <c r="E445" s="19" t="s">
        <v>21</v>
      </c>
      <c r="F445" s="19" t="s">
        <v>22</v>
      </c>
      <c r="G445" s="4" t="str">
        <f t="shared" si="53"/>
        <v>02/06/2021</v>
      </c>
      <c r="H445" s="19" t="s">
        <v>1</v>
      </c>
      <c r="I445" s="19" t="s">
        <v>0</v>
      </c>
      <c r="J445" s="5" t="s">
        <v>636</v>
      </c>
      <c r="K445" s="5" t="s">
        <v>42</v>
      </c>
      <c r="L445" s="22" t="str">
        <f>+VLOOKUP(K445,'[2]BASE DE PROVEEDORES'!$A:$B,2,0)</f>
        <v>ECSA OPERADORA EL SALVADOR S.A DE C.V.</v>
      </c>
      <c r="M445" s="25">
        <v>13.36</v>
      </c>
      <c r="N445" s="5" t="s">
        <v>2</v>
      </c>
      <c r="O445" s="5" t="s">
        <v>2</v>
      </c>
      <c r="P445" s="6">
        <v>107.58</v>
      </c>
      <c r="Q445" s="5" t="s">
        <v>2</v>
      </c>
      <c r="R445" s="18" t="s">
        <v>2</v>
      </c>
      <c r="S445" s="18" t="s">
        <v>2</v>
      </c>
      <c r="T445" s="12">
        <f t="shared" si="55"/>
        <v>13.9854</v>
      </c>
      <c r="U445" s="13">
        <f t="shared" si="54"/>
        <v>134.9254</v>
      </c>
      <c r="V445" s="19" t="s">
        <v>3</v>
      </c>
    </row>
    <row r="446" spans="1:22" x14ac:dyDescent="0.25">
      <c r="A446" s="5" t="s">
        <v>487</v>
      </c>
      <c r="B446" s="18" t="s">
        <v>526</v>
      </c>
      <c r="C446" s="20" t="str">
        <f t="shared" si="51"/>
        <v>19</v>
      </c>
      <c r="D446" s="20" t="str">
        <f t="shared" si="52"/>
        <v>06</v>
      </c>
      <c r="E446" s="19" t="s">
        <v>21</v>
      </c>
      <c r="F446" s="19" t="s">
        <v>22</v>
      </c>
      <c r="G446" s="4" t="str">
        <f t="shared" si="53"/>
        <v>19/06/2021</v>
      </c>
      <c r="H446" s="19" t="s">
        <v>1</v>
      </c>
      <c r="I446" s="19" t="s">
        <v>0</v>
      </c>
      <c r="J446" s="5" t="s">
        <v>637</v>
      </c>
      <c r="K446" s="5" t="s">
        <v>42</v>
      </c>
      <c r="L446" s="22" t="str">
        <f>+VLOOKUP(K446,'[2]BASE DE PROVEEDORES'!$A:$B,2,0)</f>
        <v>ECSA OPERADORA EL SALVADOR S.A DE C.V.</v>
      </c>
      <c r="M446" s="25">
        <v>10.16</v>
      </c>
      <c r="N446" s="5" t="s">
        <v>2</v>
      </c>
      <c r="O446" s="5" t="s">
        <v>2</v>
      </c>
      <c r="P446" s="6">
        <v>83.35</v>
      </c>
      <c r="Q446" s="5" t="s">
        <v>2</v>
      </c>
      <c r="R446" s="18" t="s">
        <v>2</v>
      </c>
      <c r="S446" s="18" t="s">
        <v>2</v>
      </c>
      <c r="T446" s="12">
        <f t="shared" si="55"/>
        <v>10.8355</v>
      </c>
      <c r="U446" s="13">
        <f t="shared" si="54"/>
        <v>104.34549999999999</v>
      </c>
      <c r="V446" s="19" t="s">
        <v>3</v>
      </c>
    </row>
    <row r="447" spans="1:22" x14ac:dyDescent="0.25">
      <c r="A447" s="5" t="s">
        <v>487</v>
      </c>
      <c r="B447" s="18" t="s">
        <v>638</v>
      </c>
      <c r="C447" s="20" t="str">
        <f t="shared" si="51"/>
        <v>25</v>
      </c>
      <c r="D447" s="20" t="str">
        <f t="shared" si="52"/>
        <v>06</v>
      </c>
      <c r="E447" s="19" t="s">
        <v>21</v>
      </c>
      <c r="F447" s="19" t="s">
        <v>22</v>
      </c>
      <c r="G447" s="4" t="str">
        <f t="shared" si="53"/>
        <v>25/06/2021</v>
      </c>
      <c r="H447" s="19" t="s">
        <v>1</v>
      </c>
      <c r="I447" s="19" t="s">
        <v>0</v>
      </c>
      <c r="J447" s="5" t="s">
        <v>639</v>
      </c>
      <c r="K447" s="5" t="s">
        <v>386</v>
      </c>
      <c r="L447" s="22" t="str">
        <f>+VLOOKUP(K447,'[2]BASE DE PROVEEDORES'!$A:$B,2,0)</f>
        <v>LUIS ALFREDO VENTURA ELVIR</v>
      </c>
      <c r="M447" s="25">
        <f>1.25+0.63</f>
        <v>1.88</v>
      </c>
      <c r="N447" s="5" t="s">
        <v>2</v>
      </c>
      <c r="O447" s="5" t="s">
        <v>2</v>
      </c>
      <c r="P447" s="6">
        <v>16.04</v>
      </c>
      <c r="Q447" s="5" t="s">
        <v>2</v>
      </c>
      <c r="R447" s="18" t="s">
        <v>2</v>
      </c>
      <c r="S447" s="18" t="s">
        <v>2</v>
      </c>
      <c r="T447" s="12">
        <f t="shared" si="55"/>
        <v>2.0851999999999999</v>
      </c>
      <c r="U447" s="13">
        <f t="shared" si="54"/>
        <v>20.005199999999999</v>
      </c>
      <c r="V447" s="19" t="s">
        <v>3</v>
      </c>
    </row>
    <row r="448" spans="1:22" x14ac:dyDescent="0.25">
      <c r="A448" s="5" t="s">
        <v>487</v>
      </c>
      <c r="B448" s="18" t="s">
        <v>538</v>
      </c>
      <c r="C448" s="20" t="str">
        <f t="shared" si="51"/>
        <v>26</v>
      </c>
      <c r="D448" s="20" t="str">
        <f t="shared" si="52"/>
        <v>06</v>
      </c>
      <c r="E448" s="19" t="s">
        <v>21</v>
      </c>
      <c r="F448" s="19" t="s">
        <v>22</v>
      </c>
      <c r="G448" s="4" t="str">
        <f t="shared" si="53"/>
        <v>26/06/2021</v>
      </c>
      <c r="H448" s="19" t="s">
        <v>1</v>
      </c>
      <c r="I448" s="19" t="s">
        <v>0</v>
      </c>
      <c r="J448" s="5" t="s">
        <v>640</v>
      </c>
      <c r="K448" s="5" t="s">
        <v>27</v>
      </c>
      <c r="L448" s="22" t="str">
        <f>+VLOOKUP(K448,'[2]BASE DE PROVEEDORES'!$A:$B,2,0)</f>
        <v>LUIGEMI S.A DE C.V.</v>
      </c>
      <c r="M448" s="25">
        <f>1.98+0.99</f>
        <v>2.9699999999999998</v>
      </c>
      <c r="N448" s="5" t="s">
        <v>2</v>
      </c>
      <c r="O448" s="5" t="s">
        <v>2</v>
      </c>
      <c r="P448" s="6">
        <v>24.5</v>
      </c>
      <c r="Q448" s="5" t="s">
        <v>2</v>
      </c>
      <c r="R448" s="18" t="s">
        <v>2</v>
      </c>
      <c r="S448" s="18" t="s">
        <v>2</v>
      </c>
      <c r="T448" s="12">
        <f t="shared" si="55"/>
        <v>3.1850000000000001</v>
      </c>
      <c r="U448" s="13">
        <f t="shared" si="54"/>
        <v>30.654999999999998</v>
      </c>
      <c r="V448" s="19" t="s">
        <v>3</v>
      </c>
    </row>
    <row r="449" spans="1:22" x14ac:dyDescent="0.25">
      <c r="A449" s="5" t="s">
        <v>487</v>
      </c>
      <c r="B449" s="18" t="s">
        <v>533</v>
      </c>
      <c r="C449" s="20" t="str">
        <f t="shared" si="51"/>
        <v>08</v>
      </c>
      <c r="D449" s="20" t="str">
        <f t="shared" si="52"/>
        <v>06</v>
      </c>
      <c r="E449" s="19" t="s">
        <v>21</v>
      </c>
      <c r="F449" s="19" t="s">
        <v>22</v>
      </c>
      <c r="G449" s="4" t="str">
        <f t="shared" si="53"/>
        <v>08/06/2021</v>
      </c>
      <c r="H449" s="19" t="s">
        <v>1</v>
      </c>
      <c r="I449" s="19" t="s">
        <v>0</v>
      </c>
      <c r="J449" s="5" t="s">
        <v>641</v>
      </c>
      <c r="K449" s="5" t="s">
        <v>42</v>
      </c>
      <c r="L449" s="22" t="str">
        <f>+VLOOKUP(K449,'[2]BASE DE PROVEEDORES'!$A:$B,2,0)</f>
        <v>ECSA OPERADORA EL SALVADOR S.A DE C.V.</v>
      </c>
      <c r="M449" s="25">
        <v>0.87</v>
      </c>
      <c r="N449" s="5" t="s">
        <v>2</v>
      </c>
      <c r="O449" s="5" t="s">
        <v>2</v>
      </c>
      <c r="P449" s="6">
        <v>8.08</v>
      </c>
      <c r="Q449" s="5" t="s">
        <v>2</v>
      </c>
      <c r="R449" s="18" t="s">
        <v>2</v>
      </c>
      <c r="S449" s="18" t="s">
        <v>2</v>
      </c>
      <c r="T449" s="12">
        <f t="shared" si="55"/>
        <v>1.0504</v>
      </c>
      <c r="U449" s="13">
        <f t="shared" si="54"/>
        <v>10.000399999999999</v>
      </c>
      <c r="V449" s="19" t="s">
        <v>3</v>
      </c>
    </row>
    <row r="450" spans="1:22" x14ac:dyDescent="0.25">
      <c r="A450" s="5" t="s">
        <v>487</v>
      </c>
      <c r="B450" s="18" t="s">
        <v>642</v>
      </c>
      <c r="C450" s="20" t="str">
        <f t="shared" si="51"/>
        <v>27</v>
      </c>
      <c r="D450" s="20" t="str">
        <f t="shared" si="52"/>
        <v>06</v>
      </c>
      <c r="E450" s="19" t="s">
        <v>21</v>
      </c>
      <c r="F450" s="19" t="s">
        <v>22</v>
      </c>
      <c r="G450" s="4" t="str">
        <f t="shared" si="53"/>
        <v>27/06/2021</v>
      </c>
      <c r="H450" s="19" t="s">
        <v>1</v>
      </c>
      <c r="I450" s="19" t="s">
        <v>0</v>
      </c>
      <c r="J450" s="5" t="s">
        <v>643</v>
      </c>
      <c r="K450" s="5" t="s">
        <v>37</v>
      </c>
      <c r="L450" s="22" t="str">
        <f>+VLOOKUP(K450,'[2]BASE DE PROVEEDORES'!$A:$B,2,0)</f>
        <v>INVERSIONES RAMIREZ QUINTANILLA S.A DE C.V.</v>
      </c>
      <c r="M450" s="25">
        <f>19.4+9.7</f>
        <v>29.099999999999998</v>
      </c>
      <c r="N450" s="5" t="s">
        <v>2</v>
      </c>
      <c r="O450" s="5" t="s">
        <v>2</v>
      </c>
      <c r="P450" s="6">
        <v>240.37</v>
      </c>
      <c r="Q450" s="5" t="s">
        <v>2</v>
      </c>
      <c r="R450" s="18" t="s">
        <v>2</v>
      </c>
      <c r="S450" s="18" t="s">
        <v>2</v>
      </c>
      <c r="T450" s="12">
        <f t="shared" si="55"/>
        <v>31.248100000000001</v>
      </c>
      <c r="U450" s="13">
        <f t="shared" si="54"/>
        <v>300.71810000000005</v>
      </c>
      <c r="V450" s="19" t="s">
        <v>3</v>
      </c>
    </row>
    <row r="451" spans="1:22" x14ac:dyDescent="0.25">
      <c r="A451" s="5" t="s">
        <v>487</v>
      </c>
      <c r="B451" s="18" t="s">
        <v>533</v>
      </c>
      <c r="C451" s="20" t="str">
        <f t="shared" ref="C451:C499" si="56">+LEFT(B451,2)</f>
        <v>08</v>
      </c>
      <c r="D451" s="20" t="str">
        <f t="shared" ref="D451:D499" si="57">+RIGHT(B451,2)</f>
        <v>06</v>
      </c>
      <c r="E451" s="19" t="s">
        <v>21</v>
      </c>
      <c r="F451" s="19" t="s">
        <v>22</v>
      </c>
      <c r="G451" s="4" t="str">
        <f t="shared" ref="G451:G499" si="58">+C451&amp;F451&amp;D451&amp;F451&amp;E451</f>
        <v>08/06/2021</v>
      </c>
      <c r="H451" s="19" t="s">
        <v>1</v>
      </c>
      <c r="I451" s="19" t="s">
        <v>0</v>
      </c>
      <c r="J451" s="5" t="s">
        <v>644</v>
      </c>
      <c r="K451" s="5" t="s">
        <v>645</v>
      </c>
      <c r="L451" s="22" t="str">
        <f>+VLOOKUP(K451,'[2]BASE DE PROVEEDORES'!$A:$B,2,0)</f>
        <v>FERRETERIA EPA S.A DE C.V.</v>
      </c>
      <c r="M451" s="25">
        <v>0</v>
      </c>
      <c r="N451" s="5" t="s">
        <v>2</v>
      </c>
      <c r="O451" s="5" t="s">
        <v>2</v>
      </c>
      <c r="P451" s="6">
        <v>27.3</v>
      </c>
      <c r="Q451" s="5" t="s">
        <v>2</v>
      </c>
      <c r="R451" s="18" t="s">
        <v>2</v>
      </c>
      <c r="S451" s="18" t="s">
        <v>2</v>
      </c>
      <c r="T451" s="12">
        <f t="shared" si="55"/>
        <v>3.5490000000000004</v>
      </c>
      <c r="U451" s="13">
        <f t="shared" ref="U451:U499" si="59">+M451+P451+T451</f>
        <v>30.849</v>
      </c>
      <c r="V451" s="19" t="s">
        <v>3</v>
      </c>
    </row>
    <row r="452" spans="1:22" x14ac:dyDescent="0.25">
      <c r="A452" s="5" t="s">
        <v>487</v>
      </c>
      <c r="B452" s="18" t="s">
        <v>258</v>
      </c>
      <c r="C452" s="20" t="str">
        <f t="shared" si="56"/>
        <v>26</v>
      </c>
      <c r="D452" s="20" t="str">
        <f t="shared" si="57"/>
        <v>05</v>
      </c>
      <c r="E452" s="19" t="s">
        <v>21</v>
      </c>
      <c r="F452" s="19" t="s">
        <v>22</v>
      </c>
      <c r="G452" s="4" t="str">
        <f t="shared" si="58"/>
        <v>26/05/2021</v>
      </c>
      <c r="H452" s="19" t="s">
        <v>1</v>
      </c>
      <c r="I452" s="19" t="s">
        <v>0</v>
      </c>
      <c r="J452" s="5" t="s">
        <v>646</v>
      </c>
      <c r="K452" s="5" t="s">
        <v>190</v>
      </c>
      <c r="L452" s="22" t="str">
        <f>+VLOOKUP(K452,'[2]BASE DE PROVEEDORES'!$A:$B,2,0)</f>
        <v>LLANTAS Y ACCESORIOS S.A DE C.V.</v>
      </c>
      <c r="M452" s="25">
        <v>0</v>
      </c>
      <c r="N452" s="5" t="s">
        <v>2</v>
      </c>
      <c r="O452" s="5" t="s">
        <v>2</v>
      </c>
      <c r="P452" s="6">
        <v>70.8</v>
      </c>
      <c r="Q452" s="5" t="s">
        <v>2</v>
      </c>
      <c r="R452" s="18" t="s">
        <v>2</v>
      </c>
      <c r="S452" s="18" t="s">
        <v>2</v>
      </c>
      <c r="T452" s="12">
        <f t="shared" ref="T452:T499" si="60">+P452*0.13</f>
        <v>9.2040000000000006</v>
      </c>
      <c r="U452" s="13">
        <f t="shared" si="59"/>
        <v>80.003999999999991</v>
      </c>
      <c r="V452" s="19" t="s">
        <v>3</v>
      </c>
    </row>
    <row r="453" spans="1:22" x14ac:dyDescent="0.25">
      <c r="A453" s="5" t="s">
        <v>487</v>
      </c>
      <c r="B453" s="18" t="s">
        <v>533</v>
      </c>
      <c r="C453" s="20" t="str">
        <f t="shared" si="56"/>
        <v>08</v>
      </c>
      <c r="D453" s="20" t="str">
        <f t="shared" si="57"/>
        <v>06</v>
      </c>
      <c r="E453" s="19" t="s">
        <v>21</v>
      </c>
      <c r="F453" s="19" t="s">
        <v>22</v>
      </c>
      <c r="G453" s="4" t="str">
        <f t="shared" si="58"/>
        <v>08/06/2021</v>
      </c>
      <c r="H453" s="19" t="s">
        <v>1</v>
      </c>
      <c r="I453" s="19" t="s">
        <v>0</v>
      </c>
      <c r="J453" s="5" t="s">
        <v>647</v>
      </c>
      <c r="K453" s="5" t="s">
        <v>420</v>
      </c>
      <c r="L453" s="22" t="str">
        <f>+VLOOKUP(K453,'[2]BASE DE PROVEEDORES'!$A:$B,2,0)</f>
        <v>TRANSPORT S.A DE C.V.</v>
      </c>
      <c r="M453" s="25">
        <v>0</v>
      </c>
      <c r="N453" s="5" t="s">
        <v>2</v>
      </c>
      <c r="O453" s="5" t="s">
        <v>2</v>
      </c>
      <c r="P453" s="6">
        <v>28.03</v>
      </c>
      <c r="Q453" s="5" t="s">
        <v>2</v>
      </c>
      <c r="R453" s="18" t="s">
        <v>2</v>
      </c>
      <c r="S453" s="18" t="s">
        <v>2</v>
      </c>
      <c r="T453" s="12">
        <f t="shared" si="60"/>
        <v>3.6439000000000004</v>
      </c>
      <c r="U453" s="13">
        <f t="shared" si="59"/>
        <v>31.673900000000003</v>
      </c>
      <c r="V453" s="19" t="s">
        <v>3</v>
      </c>
    </row>
    <row r="454" spans="1:22" x14ac:dyDescent="0.25">
      <c r="A454" s="5" t="s">
        <v>487</v>
      </c>
      <c r="B454" s="18" t="s">
        <v>418</v>
      </c>
      <c r="C454" s="20" t="str">
        <f t="shared" si="56"/>
        <v>28</v>
      </c>
      <c r="D454" s="20" t="str">
        <f t="shared" si="57"/>
        <v>05</v>
      </c>
      <c r="E454" s="19" t="s">
        <v>21</v>
      </c>
      <c r="F454" s="19" t="s">
        <v>22</v>
      </c>
      <c r="G454" s="4" t="str">
        <f t="shared" si="58"/>
        <v>28/05/2021</v>
      </c>
      <c r="H454" s="19" t="s">
        <v>1</v>
      </c>
      <c r="I454" s="19" t="s">
        <v>0</v>
      </c>
      <c r="J454" s="5" t="s">
        <v>648</v>
      </c>
      <c r="K454" s="5" t="s">
        <v>172</v>
      </c>
      <c r="L454" s="22" t="str">
        <f>+VLOOKUP(K454,'[2]BASE DE PROVEEDORES'!$A:$B,2,0)</f>
        <v>MUNFRE S.A DE C.V.</v>
      </c>
      <c r="M454" s="25">
        <v>0</v>
      </c>
      <c r="N454" s="5" t="s">
        <v>2</v>
      </c>
      <c r="O454" s="5" t="s">
        <v>2</v>
      </c>
      <c r="P454" s="6">
        <v>27.78</v>
      </c>
      <c r="Q454" s="5" t="s">
        <v>2</v>
      </c>
      <c r="R454" s="18" t="s">
        <v>2</v>
      </c>
      <c r="S454" s="18" t="s">
        <v>2</v>
      </c>
      <c r="T454" s="12">
        <f t="shared" si="60"/>
        <v>3.6114000000000002</v>
      </c>
      <c r="U454" s="13">
        <f t="shared" si="59"/>
        <v>31.391400000000001</v>
      </c>
      <c r="V454" s="19" t="s">
        <v>3</v>
      </c>
    </row>
    <row r="455" spans="1:22" x14ac:dyDescent="0.25">
      <c r="A455" s="5" t="s">
        <v>487</v>
      </c>
      <c r="B455" s="18" t="s">
        <v>546</v>
      </c>
      <c r="C455" s="20" t="str">
        <f t="shared" si="56"/>
        <v>03</v>
      </c>
      <c r="D455" s="20" t="str">
        <f t="shared" si="57"/>
        <v>06</v>
      </c>
      <c r="E455" s="19" t="s">
        <v>21</v>
      </c>
      <c r="F455" s="19" t="s">
        <v>22</v>
      </c>
      <c r="G455" s="4" t="str">
        <f t="shared" si="58"/>
        <v>03/06/2021</v>
      </c>
      <c r="H455" s="19" t="s">
        <v>1</v>
      </c>
      <c r="I455" s="19" t="s">
        <v>0</v>
      </c>
      <c r="J455" s="5" t="s">
        <v>649</v>
      </c>
      <c r="K455" s="5" t="s">
        <v>228</v>
      </c>
      <c r="L455" s="22" t="str">
        <f>+VLOOKUP(K455,'[2]BASE DE PROVEEDORES'!$A:$B,2,0)</f>
        <v>SO S.A DE C.V.</v>
      </c>
      <c r="M455" s="25">
        <v>0</v>
      </c>
      <c r="N455" s="5" t="s">
        <v>2</v>
      </c>
      <c r="O455" s="5" t="s">
        <v>2</v>
      </c>
      <c r="P455" s="6">
        <v>6.04</v>
      </c>
      <c r="Q455" s="5" t="s">
        <v>2</v>
      </c>
      <c r="R455" s="18" t="s">
        <v>2</v>
      </c>
      <c r="S455" s="18" t="s">
        <v>2</v>
      </c>
      <c r="T455" s="12">
        <f t="shared" si="60"/>
        <v>0.78520000000000001</v>
      </c>
      <c r="U455" s="13">
        <f t="shared" si="59"/>
        <v>6.8251999999999997</v>
      </c>
      <c r="V455" s="19" t="s">
        <v>3</v>
      </c>
    </row>
    <row r="456" spans="1:22" x14ac:dyDescent="0.25">
      <c r="A456" s="5" t="s">
        <v>487</v>
      </c>
      <c r="B456" s="18" t="s">
        <v>258</v>
      </c>
      <c r="C456" s="20" t="str">
        <f t="shared" si="56"/>
        <v>26</v>
      </c>
      <c r="D456" s="20" t="str">
        <f t="shared" si="57"/>
        <v>05</v>
      </c>
      <c r="E456" s="19" t="s">
        <v>21</v>
      </c>
      <c r="F456" s="19" t="s">
        <v>22</v>
      </c>
      <c r="G456" s="4" t="str">
        <f t="shared" si="58"/>
        <v>26/05/2021</v>
      </c>
      <c r="H456" s="19" t="s">
        <v>1</v>
      </c>
      <c r="I456" s="19" t="s">
        <v>0</v>
      </c>
      <c r="J456" s="5" t="s">
        <v>650</v>
      </c>
      <c r="K456" s="5" t="s">
        <v>651</v>
      </c>
      <c r="L456" s="22" t="str">
        <f>+VLOOKUP(K456,'[2]BASE DE PROVEEDORES'!$A:$B,2,0)</f>
        <v>MOTORES Y VEHICULOS S.A DE C.V.</v>
      </c>
      <c r="M456" s="25">
        <v>0</v>
      </c>
      <c r="N456" s="5" t="s">
        <v>2</v>
      </c>
      <c r="O456" s="5" t="s">
        <v>2</v>
      </c>
      <c r="P456" s="6">
        <v>8.85</v>
      </c>
      <c r="Q456" s="5" t="s">
        <v>2</v>
      </c>
      <c r="R456" s="18" t="s">
        <v>2</v>
      </c>
      <c r="S456" s="18" t="s">
        <v>2</v>
      </c>
      <c r="T456" s="12">
        <f t="shared" si="60"/>
        <v>1.1505000000000001</v>
      </c>
      <c r="U456" s="13">
        <f t="shared" si="59"/>
        <v>10.000499999999999</v>
      </c>
      <c r="V456" s="19" t="s">
        <v>3</v>
      </c>
    </row>
    <row r="457" spans="1:22" x14ac:dyDescent="0.25">
      <c r="A457" s="5" t="s">
        <v>487</v>
      </c>
      <c r="B457" s="18" t="s">
        <v>488</v>
      </c>
      <c r="C457" s="20" t="str">
        <f t="shared" si="56"/>
        <v>07</v>
      </c>
      <c r="D457" s="20" t="str">
        <f t="shared" si="57"/>
        <v>06</v>
      </c>
      <c r="E457" s="19" t="s">
        <v>21</v>
      </c>
      <c r="F457" s="19" t="s">
        <v>22</v>
      </c>
      <c r="G457" s="4" t="str">
        <f t="shared" si="58"/>
        <v>07/06/2021</v>
      </c>
      <c r="H457" s="19" t="s">
        <v>1</v>
      </c>
      <c r="I457" s="19" t="s">
        <v>0</v>
      </c>
      <c r="J457" s="5" t="s">
        <v>652</v>
      </c>
      <c r="K457" s="5" t="s">
        <v>653</v>
      </c>
      <c r="L457" s="22" t="str">
        <f>+VLOOKUP(K457,'[2]BASE DE PROVEEDORES'!$A:$B,2,0)</f>
        <v>DISTRIBUIDORA GRANADA S.A DE C.V</v>
      </c>
      <c r="M457" s="25">
        <v>0</v>
      </c>
      <c r="N457" s="5" t="s">
        <v>2</v>
      </c>
      <c r="O457" s="5" t="s">
        <v>2</v>
      </c>
      <c r="P457" s="6">
        <v>63.6</v>
      </c>
      <c r="Q457" s="5" t="s">
        <v>2</v>
      </c>
      <c r="R457" s="18" t="s">
        <v>2</v>
      </c>
      <c r="S457" s="18" t="s">
        <v>2</v>
      </c>
      <c r="T457" s="12">
        <f t="shared" si="60"/>
        <v>8.2680000000000007</v>
      </c>
      <c r="U457" s="13">
        <f t="shared" si="59"/>
        <v>71.867999999999995</v>
      </c>
      <c r="V457" s="19" t="s">
        <v>3</v>
      </c>
    </row>
    <row r="458" spans="1:22" x14ac:dyDescent="0.25">
      <c r="A458" s="5" t="s">
        <v>487</v>
      </c>
      <c r="B458" s="18" t="s">
        <v>546</v>
      </c>
      <c r="C458" s="20" t="str">
        <f t="shared" si="56"/>
        <v>03</v>
      </c>
      <c r="D458" s="20" t="str">
        <f t="shared" si="57"/>
        <v>06</v>
      </c>
      <c r="E458" s="19" t="s">
        <v>21</v>
      </c>
      <c r="F458" s="19" t="s">
        <v>22</v>
      </c>
      <c r="G458" s="4" t="str">
        <f t="shared" si="58"/>
        <v>03/06/2021</v>
      </c>
      <c r="H458" s="19" t="s">
        <v>1</v>
      </c>
      <c r="I458" s="19" t="s">
        <v>0</v>
      </c>
      <c r="J458" s="5" t="s">
        <v>654</v>
      </c>
      <c r="K458" s="5" t="s">
        <v>152</v>
      </c>
      <c r="L458" s="22" t="str">
        <f>+VLOOKUP(K458,'[2]BASE DE PROVEEDORES'!$A:$B,2,0)</f>
        <v>ASETCA</v>
      </c>
      <c r="M458" s="25">
        <v>0</v>
      </c>
      <c r="N458" s="5" t="s">
        <v>2</v>
      </c>
      <c r="O458" s="5" t="s">
        <v>2</v>
      </c>
      <c r="P458" s="6">
        <v>5.31</v>
      </c>
      <c r="Q458" s="5" t="s">
        <v>2</v>
      </c>
      <c r="R458" s="18" t="s">
        <v>2</v>
      </c>
      <c r="S458" s="18" t="s">
        <v>2</v>
      </c>
      <c r="T458" s="12">
        <f t="shared" si="60"/>
        <v>0.69030000000000002</v>
      </c>
      <c r="U458" s="13">
        <f t="shared" si="59"/>
        <v>6.0002999999999993</v>
      </c>
      <c r="V458" s="19" t="s">
        <v>3</v>
      </c>
    </row>
    <row r="459" spans="1:22" x14ac:dyDescent="0.25">
      <c r="A459" s="5" t="s">
        <v>487</v>
      </c>
      <c r="B459" s="18" t="s">
        <v>517</v>
      </c>
      <c r="C459" s="20" t="str">
        <f t="shared" si="56"/>
        <v>10</v>
      </c>
      <c r="D459" s="20" t="str">
        <f t="shared" si="57"/>
        <v>06</v>
      </c>
      <c r="E459" s="19" t="s">
        <v>21</v>
      </c>
      <c r="F459" s="19" t="s">
        <v>22</v>
      </c>
      <c r="G459" s="4" t="str">
        <f t="shared" si="58"/>
        <v>10/06/2021</v>
      </c>
      <c r="H459" s="19" t="s">
        <v>1</v>
      </c>
      <c r="I459" s="19" t="s">
        <v>0</v>
      </c>
      <c r="J459" s="5" t="s">
        <v>655</v>
      </c>
      <c r="K459" s="5" t="s">
        <v>146</v>
      </c>
      <c r="L459" s="22" t="str">
        <f>+VLOOKUP(K459,'[2]BASE DE PROVEEDORES'!$A:$B,2,0)</f>
        <v>FREUND S.A DE C.V.</v>
      </c>
      <c r="M459" s="25">
        <v>0</v>
      </c>
      <c r="N459" s="5" t="s">
        <v>2</v>
      </c>
      <c r="O459" s="5" t="s">
        <v>2</v>
      </c>
      <c r="P459" s="6">
        <v>17.48</v>
      </c>
      <c r="Q459" s="5" t="s">
        <v>2</v>
      </c>
      <c r="R459" s="18" t="s">
        <v>2</v>
      </c>
      <c r="S459" s="18" t="s">
        <v>2</v>
      </c>
      <c r="T459" s="12">
        <f t="shared" si="60"/>
        <v>2.2724000000000002</v>
      </c>
      <c r="U459" s="13">
        <f t="shared" si="59"/>
        <v>19.752400000000002</v>
      </c>
      <c r="V459" s="19" t="s">
        <v>3</v>
      </c>
    </row>
    <row r="460" spans="1:22" x14ac:dyDescent="0.25">
      <c r="A460" s="5" t="s">
        <v>487</v>
      </c>
      <c r="B460" s="18" t="s">
        <v>526</v>
      </c>
      <c r="C460" s="20" t="str">
        <f t="shared" si="56"/>
        <v>19</v>
      </c>
      <c r="D460" s="20" t="str">
        <f t="shared" si="57"/>
        <v>06</v>
      </c>
      <c r="E460" s="19" t="s">
        <v>21</v>
      </c>
      <c r="F460" s="19" t="s">
        <v>22</v>
      </c>
      <c r="G460" s="4" t="str">
        <f t="shared" si="58"/>
        <v>19/06/2021</v>
      </c>
      <c r="H460" s="19" t="s">
        <v>1</v>
      </c>
      <c r="I460" s="19" t="s">
        <v>0</v>
      </c>
      <c r="J460" s="5" t="s">
        <v>656</v>
      </c>
      <c r="K460" s="5" t="s">
        <v>222</v>
      </c>
      <c r="L460" s="22" t="str">
        <f>+VLOOKUP(K460,'[2]BASE DE PROVEEDORES'!$A:$B,2,0)</f>
        <v>JOSE MARIA SALINAS DERAS</v>
      </c>
      <c r="M460" s="25">
        <v>0</v>
      </c>
      <c r="N460" s="5" t="s">
        <v>2</v>
      </c>
      <c r="O460" s="5" t="s">
        <v>2</v>
      </c>
      <c r="P460" s="6">
        <v>59</v>
      </c>
      <c r="Q460" s="5" t="s">
        <v>2</v>
      </c>
      <c r="R460" s="18" t="s">
        <v>2</v>
      </c>
      <c r="S460" s="18" t="s">
        <v>2</v>
      </c>
      <c r="T460" s="12">
        <f t="shared" si="60"/>
        <v>7.67</v>
      </c>
      <c r="U460" s="13">
        <f t="shared" si="59"/>
        <v>66.67</v>
      </c>
      <c r="V460" s="19" t="s">
        <v>3</v>
      </c>
    </row>
    <row r="461" spans="1:22" x14ac:dyDescent="0.25">
      <c r="A461" s="5" t="s">
        <v>487</v>
      </c>
      <c r="B461" s="18" t="s">
        <v>526</v>
      </c>
      <c r="C461" s="20" t="str">
        <f t="shared" si="56"/>
        <v>19</v>
      </c>
      <c r="D461" s="20" t="str">
        <f t="shared" si="57"/>
        <v>06</v>
      </c>
      <c r="E461" s="19" t="s">
        <v>21</v>
      </c>
      <c r="F461" s="19" t="s">
        <v>22</v>
      </c>
      <c r="G461" s="4" t="str">
        <f t="shared" si="58"/>
        <v>19/06/2021</v>
      </c>
      <c r="H461" s="19" t="s">
        <v>1</v>
      </c>
      <c r="I461" s="19" t="s">
        <v>0</v>
      </c>
      <c r="J461" s="5" t="s">
        <v>657</v>
      </c>
      <c r="K461" s="5" t="s">
        <v>154</v>
      </c>
      <c r="L461" s="22" t="str">
        <f>+VLOOKUP(K461,'[2]BASE DE PROVEEDORES'!$A:$B,2,0)</f>
        <v xml:space="preserve">TALLER DIDEA S.A DE C.V </v>
      </c>
      <c r="M461" s="25">
        <v>0</v>
      </c>
      <c r="N461" s="5" t="s">
        <v>2</v>
      </c>
      <c r="O461" s="5" t="s">
        <v>2</v>
      </c>
      <c r="P461" s="6">
        <v>129.97999999999999</v>
      </c>
      <c r="Q461" s="5" t="s">
        <v>2</v>
      </c>
      <c r="R461" s="18" t="s">
        <v>2</v>
      </c>
      <c r="S461" s="18" t="s">
        <v>2</v>
      </c>
      <c r="T461" s="12">
        <f t="shared" si="60"/>
        <v>16.897399999999998</v>
      </c>
      <c r="U461" s="13">
        <f t="shared" si="59"/>
        <v>146.87739999999999</v>
      </c>
      <c r="V461" s="19" t="s">
        <v>3</v>
      </c>
    </row>
    <row r="462" spans="1:22" x14ac:dyDescent="0.25">
      <c r="A462" s="5" t="s">
        <v>487</v>
      </c>
      <c r="B462" s="18" t="s">
        <v>498</v>
      </c>
      <c r="C462" s="20" t="str">
        <f t="shared" si="56"/>
        <v>24</v>
      </c>
      <c r="D462" s="20" t="str">
        <f t="shared" si="57"/>
        <v>06</v>
      </c>
      <c r="E462" s="19" t="s">
        <v>21</v>
      </c>
      <c r="F462" s="19" t="s">
        <v>22</v>
      </c>
      <c r="G462" s="4" t="str">
        <f t="shared" si="58"/>
        <v>24/06/2021</v>
      </c>
      <c r="H462" s="19" t="s">
        <v>1</v>
      </c>
      <c r="I462" s="19" t="s">
        <v>0</v>
      </c>
      <c r="J462" s="5" t="s">
        <v>658</v>
      </c>
      <c r="K462" s="5" t="s">
        <v>659</v>
      </c>
      <c r="L462" s="22" t="str">
        <f>+VLOOKUP(K462,'[2]BASE DE PROVEEDORES'!$A:$B,2,0)</f>
        <v>ATCASAL DE EL SALVADOR</v>
      </c>
      <c r="M462" s="25">
        <v>0</v>
      </c>
      <c r="N462" s="5" t="s">
        <v>2</v>
      </c>
      <c r="O462" s="5" t="s">
        <v>2</v>
      </c>
      <c r="P462" s="6">
        <v>141.59</v>
      </c>
      <c r="Q462" s="5" t="s">
        <v>2</v>
      </c>
      <c r="R462" s="18" t="s">
        <v>2</v>
      </c>
      <c r="S462" s="18" t="s">
        <v>2</v>
      </c>
      <c r="T462" s="12">
        <f t="shared" si="60"/>
        <v>18.406700000000001</v>
      </c>
      <c r="U462" s="13">
        <f t="shared" si="59"/>
        <v>159.9967</v>
      </c>
      <c r="V462" s="19" t="s">
        <v>3</v>
      </c>
    </row>
    <row r="463" spans="1:22" x14ac:dyDescent="0.25">
      <c r="A463" s="5" t="s">
        <v>487</v>
      </c>
      <c r="B463" s="18" t="s">
        <v>496</v>
      </c>
      <c r="C463" s="20" t="str">
        <f t="shared" si="56"/>
        <v>23</v>
      </c>
      <c r="D463" s="20" t="str">
        <f t="shared" si="57"/>
        <v>06</v>
      </c>
      <c r="E463" s="19" t="s">
        <v>21</v>
      </c>
      <c r="F463" s="19" t="s">
        <v>22</v>
      </c>
      <c r="G463" s="4" t="str">
        <f t="shared" si="58"/>
        <v>23/06/2021</v>
      </c>
      <c r="H463" s="19" t="s">
        <v>1</v>
      </c>
      <c r="I463" s="19" t="s">
        <v>0</v>
      </c>
      <c r="J463" s="5" t="s">
        <v>660</v>
      </c>
      <c r="K463" s="5" t="s">
        <v>412</v>
      </c>
      <c r="L463" s="22" t="str">
        <f>+VLOOKUP(K463,'[2]BASE DE PROVEEDORES'!$A:$B,2,0)</f>
        <v>AMERICAN PETROLEUM DE EL SALVADOR S.A DE C.V.</v>
      </c>
      <c r="M463" s="25">
        <v>2.81</v>
      </c>
      <c r="N463" s="5" t="s">
        <v>2</v>
      </c>
      <c r="O463" s="5" t="s">
        <v>2</v>
      </c>
      <c r="P463" s="6">
        <v>23.11</v>
      </c>
      <c r="Q463" s="5" t="s">
        <v>2</v>
      </c>
      <c r="R463" s="18" t="s">
        <v>2</v>
      </c>
      <c r="S463" s="18" t="s">
        <v>2</v>
      </c>
      <c r="T463" s="12">
        <f t="shared" si="60"/>
        <v>3.0043000000000002</v>
      </c>
      <c r="U463" s="13">
        <f t="shared" si="59"/>
        <v>28.924299999999999</v>
      </c>
      <c r="V463" s="19" t="s">
        <v>3</v>
      </c>
    </row>
    <row r="464" spans="1:22" x14ac:dyDescent="0.25">
      <c r="A464" s="5" t="s">
        <v>487</v>
      </c>
      <c r="B464" s="18" t="s">
        <v>490</v>
      </c>
      <c r="C464" s="20" t="str">
        <f t="shared" si="56"/>
        <v>18</v>
      </c>
      <c r="D464" s="20" t="str">
        <f t="shared" si="57"/>
        <v>06</v>
      </c>
      <c r="E464" s="19" t="s">
        <v>21</v>
      </c>
      <c r="F464" s="19" t="s">
        <v>22</v>
      </c>
      <c r="G464" s="4" t="str">
        <f t="shared" si="58"/>
        <v>18/06/2021</v>
      </c>
      <c r="H464" s="19" t="s">
        <v>1</v>
      </c>
      <c r="I464" s="19" t="s">
        <v>0</v>
      </c>
      <c r="J464" s="5" t="s">
        <v>661</v>
      </c>
      <c r="K464" s="5" t="s">
        <v>164</v>
      </c>
      <c r="L464" s="22" t="str">
        <f>+VLOOKUP(K464,'[2]BASE DE PROVEEDORES'!$A:$B,2,0)</f>
        <v>TRANPORTES PESADOS S.A DE C.V.</v>
      </c>
      <c r="M464" s="25">
        <v>0</v>
      </c>
      <c r="N464" s="5" t="s">
        <v>2</v>
      </c>
      <c r="O464" s="5" t="s">
        <v>2</v>
      </c>
      <c r="P464" s="6">
        <v>36.71</v>
      </c>
      <c r="Q464" s="5" t="s">
        <v>2</v>
      </c>
      <c r="R464" s="18" t="s">
        <v>2</v>
      </c>
      <c r="S464" s="18" t="s">
        <v>2</v>
      </c>
      <c r="T464" s="12">
        <f t="shared" si="60"/>
        <v>4.7723000000000004</v>
      </c>
      <c r="U464" s="13">
        <f t="shared" si="59"/>
        <v>41.482300000000002</v>
      </c>
      <c r="V464" s="19" t="s">
        <v>3</v>
      </c>
    </row>
    <row r="465" spans="1:22" x14ac:dyDescent="0.25">
      <c r="A465" s="5" t="s">
        <v>487</v>
      </c>
      <c r="B465" s="18" t="s">
        <v>490</v>
      </c>
      <c r="C465" s="20" t="str">
        <f t="shared" si="56"/>
        <v>18</v>
      </c>
      <c r="D465" s="20" t="str">
        <f t="shared" si="57"/>
        <v>06</v>
      </c>
      <c r="E465" s="19" t="s">
        <v>21</v>
      </c>
      <c r="F465" s="19" t="s">
        <v>22</v>
      </c>
      <c r="G465" s="4" t="str">
        <f t="shared" si="58"/>
        <v>18/06/2021</v>
      </c>
      <c r="H465" s="19" t="s">
        <v>1</v>
      </c>
      <c r="I465" s="19" t="s">
        <v>0</v>
      </c>
      <c r="J465" s="5" t="s">
        <v>662</v>
      </c>
      <c r="K465" s="5" t="s">
        <v>146</v>
      </c>
      <c r="L465" s="22" t="str">
        <f>+VLOOKUP(K465,'[2]BASE DE PROVEEDORES'!$A:$B,2,0)</f>
        <v>FREUND S.A DE C.V.</v>
      </c>
      <c r="M465" s="25">
        <v>0</v>
      </c>
      <c r="N465" s="5" t="s">
        <v>2</v>
      </c>
      <c r="O465" s="5" t="s">
        <v>2</v>
      </c>
      <c r="P465" s="6">
        <v>19.12</v>
      </c>
      <c r="Q465" s="5" t="s">
        <v>2</v>
      </c>
      <c r="R465" s="18" t="s">
        <v>2</v>
      </c>
      <c r="S465" s="18" t="s">
        <v>2</v>
      </c>
      <c r="T465" s="12">
        <f t="shared" si="60"/>
        <v>2.4856000000000003</v>
      </c>
      <c r="U465" s="13">
        <f t="shared" si="59"/>
        <v>21.605600000000003</v>
      </c>
      <c r="V465" s="19" t="s">
        <v>3</v>
      </c>
    </row>
    <row r="466" spans="1:22" x14ac:dyDescent="0.25">
      <c r="A466" s="5" t="s">
        <v>487</v>
      </c>
      <c r="B466" s="18" t="s">
        <v>496</v>
      </c>
      <c r="C466" s="20" t="str">
        <f t="shared" si="56"/>
        <v>23</v>
      </c>
      <c r="D466" s="20" t="str">
        <f t="shared" si="57"/>
        <v>06</v>
      </c>
      <c r="E466" s="19" t="s">
        <v>21</v>
      </c>
      <c r="F466" s="19" t="s">
        <v>22</v>
      </c>
      <c r="G466" s="4" t="str">
        <f t="shared" si="58"/>
        <v>23/06/2021</v>
      </c>
      <c r="H466" s="19" t="s">
        <v>1</v>
      </c>
      <c r="I466" s="19" t="s">
        <v>0</v>
      </c>
      <c r="J466" s="5" t="s">
        <v>663</v>
      </c>
      <c r="K466" s="5" t="s">
        <v>152</v>
      </c>
      <c r="L466" s="22" t="str">
        <f>+VLOOKUP(K466,'[2]BASE DE PROVEEDORES'!$A:$B,2,0)</f>
        <v>ASETCA</v>
      </c>
      <c r="M466" s="25">
        <v>0</v>
      </c>
      <c r="N466" s="5" t="s">
        <v>2</v>
      </c>
      <c r="O466" s="5" t="s">
        <v>2</v>
      </c>
      <c r="P466" s="6">
        <v>5.31</v>
      </c>
      <c r="Q466" s="5" t="s">
        <v>2</v>
      </c>
      <c r="R466" s="18" t="s">
        <v>2</v>
      </c>
      <c r="S466" s="18" t="s">
        <v>2</v>
      </c>
      <c r="T466" s="12">
        <f t="shared" si="60"/>
        <v>0.69030000000000002</v>
      </c>
      <c r="U466" s="13">
        <f t="shared" si="59"/>
        <v>6.0002999999999993</v>
      </c>
      <c r="V466" s="19" t="s">
        <v>3</v>
      </c>
    </row>
    <row r="467" spans="1:22" x14ac:dyDescent="0.25">
      <c r="A467" s="5" t="s">
        <v>487</v>
      </c>
      <c r="B467" s="18" t="s">
        <v>496</v>
      </c>
      <c r="C467" s="20" t="str">
        <f t="shared" si="56"/>
        <v>23</v>
      </c>
      <c r="D467" s="20" t="str">
        <f t="shared" si="57"/>
        <v>06</v>
      </c>
      <c r="E467" s="19" t="s">
        <v>21</v>
      </c>
      <c r="F467" s="19" t="s">
        <v>22</v>
      </c>
      <c r="G467" s="4" t="str">
        <f t="shared" si="58"/>
        <v>23/06/2021</v>
      </c>
      <c r="H467" s="19" t="s">
        <v>1</v>
      </c>
      <c r="I467" s="19" t="s">
        <v>0</v>
      </c>
      <c r="J467" s="5" t="s">
        <v>664</v>
      </c>
      <c r="K467" s="5" t="s">
        <v>164</v>
      </c>
      <c r="L467" s="22" t="str">
        <f>+VLOOKUP(K467,'[2]BASE DE PROVEEDORES'!$A:$B,2,0)</f>
        <v>TRANPORTES PESADOS S.A DE C.V.</v>
      </c>
      <c r="M467" s="25">
        <v>0</v>
      </c>
      <c r="N467" s="5" t="s">
        <v>2</v>
      </c>
      <c r="O467" s="5" t="s">
        <v>2</v>
      </c>
      <c r="P467" s="6">
        <v>39.380000000000003</v>
      </c>
      <c r="Q467" s="5" t="s">
        <v>2</v>
      </c>
      <c r="R467" s="18" t="s">
        <v>2</v>
      </c>
      <c r="S467" s="18" t="s">
        <v>2</v>
      </c>
      <c r="T467" s="12">
        <f t="shared" si="60"/>
        <v>5.1194000000000006</v>
      </c>
      <c r="U467" s="13">
        <f t="shared" si="59"/>
        <v>44.499400000000001</v>
      </c>
      <c r="V467" s="19" t="s">
        <v>3</v>
      </c>
    </row>
    <row r="468" spans="1:22" x14ac:dyDescent="0.25">
      <c r="A468" s="5" t="s">
        <v>487</v>
      </c>
      <c r="B468" s="18" t="s">
        <v>498</v>
      </c>
      <c r="C468" s="20" t="str">
        <f t="shared" si="56"/>
        <v>24</v>
      </c>
      <c r="D468" s="20" t="str">
        <f t="shared" si="57"/>
        <v>06</v>
      </c>
      <c r="E468" s="19" t="s">
        <v>21</v>
      </c>
      <c r="F468" s="19" t="s">
        <v>22</v>
      </c>
      <c r="G468" s="4" t="str">
        <f t="shared" si="58"/>
        <v>24/06/2021</v>
      </c>
      <c r="H468" s="19" t="s">
        <v>1</v>
      </c>
      <c r="I468" s="19" t="s">
        <v>0</v>
      </c>
      <c r="J468" s="5" t="s">
        <v>665</v>
      </c>
      <c r="K468" s="5" t="s">
        <v>228</v>
      </c>
      <c r="L468" s="22" t="str">
        <f>+VLOOKUP(K468,'[2]BASE DE PROVEEDORES'!$A:$B,2,0)</f>
        <v>SO S.A DE C.V.</v>
      </c>
      <c r="M468" s="25">
        <v>0</v>
      </c>
      <c r="N468" s="5" t="s">
        <v>2</v>
      </c>
      <c r="O468" s="5" t="s">
        <v>2</v>
      </c>
      <c r="P468" s="6">
        <v>9.73</v>
      </c>
      <c r="Q468" s="5" t="s">
        <v>2</v>
      </c>
      <c r="R468" s="18" t="s">
        <v>2</v>
      </c>
      <c r="S468" s="18" t="s">
        <v>2</v>
      </c>
      <c r="T468" s="12">
        <f t="shared" si="60"/>
        <v>1.2649000000000001</v>
      </c>
      <c r="U468" s="13">
        <f t="shared" si="59"/>
        <v>10.994900000000001</v>
      </c>
      <c r="V468" s="19" t="s">
        <v>3</v>
      </c>
    </row>
    <row r="469" spans="1:22" x14ac:dyDescent="0.25">
      <c r="A469" s="5" t="s">
        <v>487</v>
      </c>
      <c r="B469" s="18" t="s">
        <v>666</v>
      </c>
      <c r="C469" s="20" t="str">
        <f t="shared" si="56"/>
        <v>14</v>
      </c>
      <c r="D469" s="20" t="str">
        <f t="shared" si="57"/>
        <v>14</v>
      </c>
      <c r="E469" s="19" t="s">
        <v>21</v>
      </c>
      <c r="F469" s="19" t="s">
        <v>22</v>
      </c>
      <c r="G469" s="4" t="str">
        <f t="shared" si="58"/>
        <v>14/14/2021</v>
      </c>
      <c r="H469" s="19" t="s">
        <v>1</v>
      </c>
      <c r="I469" s="19" t="s">
        <v>0</v>
      </c>
      <c r="L469" s="22" t="e">
        <f>+VLOOKUP(K469,'[2]BASE DE PROVEEDORES'!$A:$B,2,0)</f>
        <v>#N/A</v>
      </c>
      <c r="M469" s="25">
        <v>0</v>
      </c>
      <c r="N469" s="5" t="s">
        <v>2</v>
      </c>
      <c r="O469" s="5" t="s">
        <v>2</v>
      </c>
      <c r="P469" s="6"/>
      <c r="Q469" s="5" t="s">
        <v>2</v>
      </c>
      <c r="R469" s="18" t="s">
        <v>2</v>
      </c>
      <c r="S469" s="18" t="s">
        <v>2</v>
      </c>
      <c r="T469" s="12">
        <f t="shared" si="60"/>
        <v>0</v>
      </c>
      <c r="U469" s="13">
        <f t="shared" si="59"/>
        <v>0</v>
      </c>
      <c r="V469" s="19" t="s">
        <v>3</v>
      </c>
    </row>
    <row r="470" spans="1:22" x14ac:dyDescent="0.25">
      <c r="A470" s="5" t="s">
        <v>487</v>
      </c>
      <c r="C470" s="20" t="str">
        <f t="shared" si="56"/>
        <v/>
      </c>
      <c r="D470" s="20" t="str">
        <f t="shared" si="57"/>
        <v/>
      </c>
      <c r="E470" s="19" t="s">
        <v>21</v>
      </c>
      <c r="F470" s="19" t="s">
        <v>22</v>
      </c>
      <c r="G470" s="4" t="str">
        <f t="shared" si="58"/>
        <v>//2021</v>
      </c>
      <c r="H470" s="19" t="s">
        <v>1</v>
      </c>
      <c r="I470" s="19" t="s">
        <v>0</v>
      </c>
      <c r="L470" s="22" t="e">
        <f>+VLOOKUP(K470,'[2]BASE DE PROVEEDORES'!$A:$B,2,0)</f>
        <v>#N/A</v>
      </c>
      <c r="M470" s="25">
        <v>0</v>
      </c>
      <c r="N470" s="5" t="s">
        <v>2</v>
      </c>
      <c r="O470" s="5" t="s">
        <v>2</v>
      </c>
      <c r="P470" s="6"/>
      <c r="Q470" s="5" t="s">
        <v>2</v>
      </c>
      <c r="R470" s="18" t="s">
        <v>2</v>
      </c>
      <c r="S470" s="18" t="s">
        <v>2</v>
      </c>
      <c r="T470" s="12">
        <f t="shared" si="60"/>
        <v>0</v>
      </c>
      <c r="U470" s="13">
        <f t="shared" si="59"/>
        <v>0</v>
      </c>
      <c r="V470" s="19" t="s">
        <v>3</v>
      </c>
    </row>
    <row r="471" spans="1:22" x14ac:dyDescent="0.25">
      <c r="A471" s="5" t="s">
        <v>487</v>
      </c>
      <c r="C471" s="20" t="str">
        <f t="shared" si="56"/>
        <v/>
      </c>
      <c r="D471" s="20" t="str">
        <f t="shared" si="57"/>
        <v/>
      </c>
      <c r="E471" s="19" t="s">
        <v>21</v>
      </c>
      <c r="F471" s="19" t="s">
        <v>22</v>
      </c>
      <c r="G471" s="4" t="str">
        <f t="shared" si="58"/>
        <v>//2021</v>
      </c>
      <c r="H471" s="19" t="s">
        <v>1</v>
      </c>
      <c r="I471" s="19" t="s">
        <v>0</v>
      </c>
      <c r="L471" s="22" t="e">
        <f>+VLOOKUP(K471,'[2]BASE DE PROVEEDORES'!$A:$B,2,0)</f>
        <v>#N/A</v>
      </c>
      <c r="M471" s="25">
        <v>0</v>
      </c>
      <c r="N471" s="5" t="s">
        <v>2</v>
      </c>
      <c r="O471" s="5" t="s">
        <v>2</v>
      </c>
      <c r="P471" s="6"/>
      <c r="Q471" s="5" t="s">
        <v>2</v>
      </c>
      <c r="R471" s="18" t="s">
        <v>2</v>
      </c>
      <c r="S471" s="18" t="s">
        <v>2</v>
      </c>
      <c r="T471" s="12">
        <f t="shared" si="60"/>
        <v>0</v>
      </c>
      <c r="U471" s="13">
        <f t="shared" si="59"/>
        <v>0</v>
      </c>
      <c r="V471" s="19" t="s">
        <v>3</v>
      </c>
    </row>
    <row r="472" spans="1:22" x14ac:dyDescent="0.25">
      <c r="A472" s="5" t="s">
        <v>487</v>
      </c>
      <c r="C472" s="20" t="str">
        <f t="shared" si="56"/>
        <v/>
      </c>
      <c r="D472" s="20" t="str">
        <f t="shared" si="57"/>
        <v/>
      </c>
      <c r="E472" s="19" t="s">
        <v>21</v>
      </c>
      <c r="F472" s="19" t="s">
        <v>22</v>
      </c>
      <c r="G472" s="4" t="str">
        <f t="shared" si="58"/>
        <v>//2021</v>
      </c>
      <c r="H472" s="19" t="s">
        <v>1</v>
      </c>
      <c r="I472" s="19" t="s">
        <v>0</v>
      </c>
      <c r="L472" s="22" t="e">
        <f>+VLOOKUP(K472,'[2]BASE DE PROVEEDORES'!$A:$B,2,0)</f>
        <v>#N/A</v>
      </c>
      <c r="M472" s="25">
        <v>0</v>
      </c>
      <c r="N472" s="5" t="s">
        <v>2</v>
      </c>
      <c r="O472" s="5" t="s">
        <v>2</v>
      </c>
      <c r="P472" s="6"/>
      <c r="Q472" s="5" t="s">
        <v>2</v>
      </c>
      <c r="R472" s="18" t="s">
        <v>2</v>
      </c>
      <c r="S472" s="18" t="s">
        <v>2</v>
      </c>
      <c r="T472" s="12">
        <f t="shared" si="60"/>
        <v>0</v>
      </c>
      <c r="U472" s="13">
        <f t="shared" si="59"/>
        <v>0</v>
      </c>
      <c r="V472" s="19" t="s">
        <v>3</v>
      </c>
    </row>
    <row r="473" spans="1:22" x14ac:dyDescent="0.25">
      <c r="A473" s="5" t="s">
        <v>487</v>
      </c>
      <c r="C473" s="20" t="str">
        <f t="shared" si="56"/>
        <v/>
      </c>
      <c r="D473" s="20" t="str">
        <f t="shared" si="57"/>
        <v/>
      </c>
      <c r="E473" s="19" t="s">
        <v>21</v>
      </c>
      <c r="F473" s="19" t="s">
        <v>22</v>
      </c>
      <c r="G473" s="4" t="str">
        <f t="shared" si="58"/>
        <v>//2021</v>
      </c>
      <c r="H473" s="19" t="s">
        <v>1</v>
      </c>
      <c r="I473" s="19" t="s">
        <v>0</v>
      </c>
      <c r="L473" s="22" t="e">
        <f>+VLOOKUP(K473,'[2]BASE DE PROVEEDORES'!$A:$B,2,0)</f>
        <v>#N/A</v>
      </c>
      <c r="M473" s="25">
        <v>0</v>
      </c>
      <c r="N473" s="5" t="s">
        <v>2</v>
      </c>
      <c r="O473" s="5" t="s">
        <v>2</v>
      </c>
      <c r="P473" s="6"/>
      <c r="Q473" s="5" t="s">
        <v>2</v>
      </c>
      <c r="R473" s="18" t="s">
        <v>2</v>
      </c>
      <c r="S473" s="18" t="s">
        <v>2</v>
      </c>
      <c r="T473" s="12">
        <f t="shared" si="60"/>
        <v>0</v>
      </c>
      <c r="U473" s="13">
        <f t="shared" si="59"/>
        <v>0</v>
      </c>
      <c r="V473" s="19" t="s">
        <v>3</v>
      </c>
    </row>
    <row r="474" spans="1:22" x14ac:dyDescent="0.25">
      <c r="A474" s="5" t="s">
        <v>487</v>
      </c>
      <c r="C474" s="20" t="str">
        <f t="shared" si="56"/>
        <v/>
      </c>
      <c r="D474" s="20" t="str">
        <f t="shared" si="57"/>
        <v/>
      </c>
      <c r="E474" s="19" t="s">
        <v>21</v>
      </c>
      <c r="F474" s="19" t="s">
        <v>22</v>
      </c>
      <c r="G474" s="4" t="str">
        <f t="shared" si="58"/>
        <v>//2021</v>
      </c>
      <c r="H474" s="19" t="s">
        <v>1</v>
      </c>
      <c r="I474" s="19" t="s">
        <v>0</v>
      </c>
      <c r="L474" s="22" t="e">
        <f>+VLOOKUP(K474,'[2]BASE DE PROVEEDORES'!$A:$B,2,0)</f>
        <v>#N/A</v>
      </c>
      <c r="M474" s="25">
        <v>0</v>
      </c>
      <c r="N474" s="5" t="s">
        <v>2</v>
      </c>
      <c r="O474" s="5" t="s">
        <v>2</v>
      </c>
      <c r="P474" s="6"/>
      <c r="Q474" s="5" t="s">
        <v>2</v>
      </c>
      <c r="R474" s="18" t="s">
        <v>2</v>
      </c>
      <c r="S474" s="18" t="s">
        <v>2</v>
      </c>
      <c r="T474" s="12">
        <f t="shared" si="60"/>
        <v>0</v>
      </c>
      <c r="U474" s="13">
        <f t="shared" si="59"/>
        <v>0</v>
      </c>
      <c r="V474" s="19" t="s">
        <v>3</v>
      </c>
    </row>
    <row r="475" spans="1:22" x14ac:dyDescent="0.25">
      <c r="A475" s="5" t="s">
        <v>487</v>
      </c>
      <c r="C475" s="20" t="str">
        <f t="shared" si="56"/>
        <v/>
      </c>
      <c r="D475" s="20" t="str">
        <f t="shared" si="57"/>
        <v/>
      </c>
      <c r="E475" s="19" t="s">
        <v>21</v>
      </c>
      <c r="F475" s="19" t="s">
        <v>22</v>
      </c>
      <c r="G475" s="4" t="str">
        <f t="shared" si="58"/>
        <v>//2021</v>
      </c>
      <c r="H475" s="19" t="s">
        <v>1</v>
      </c>
      <c r="I475" s="19" t="s">
        <v>0</v>
      </c>
      <c r="L475" s="22" t="e">
        <f>+VLOOKUP(K475,'[2]BASE DE PROVEEDORES'!$A:$B,2,0)</f>
        <v>#N/A</v>
      </c>
      <c r="M475" s="25">
        <v>0</v>
      </c>
      <c r="N475" s="5" t="s">
        <v>2</v>
      </c>
      <c r="O475" s="5" t="s">
        <v>2</v>
      </c>
      <c r="P475" s="6"/>
      <c r="Q475" s="5" t="s">
        <v>2</v>
      </c>
      <c r="R475" s="18" t="s">
        <v>2</v>
      </c>
      <c r="S475" s="18" t="s">
        <v>2</v>
      </c>
      <c r="T475" s="12">
        <f t="shared" si="60"/>
        <v>0</v>
      </c>
      <c r="U475" s="13">
        <f t="shared" si="59"/>
        <v>0</v>
      </c>
      <c r="V475" s="19" t="s">
        <v>3</v>
      </c>
    </row>
    <row r="476" spans="1:22" x14ac:dyDescent="0.25">
      <c r="A476" s="5" t="s">
        <v>487</v>
      </c>
      <c r="C476" s="20" t="str">
        <f t="shared" si="56"/>
        <v/>
      </c>
      <c r="D476" s="20" t="str">
        <f t="shared" si="57"/>
        <v/>
      </c>
      <c r="E476" s="19" t="s">
        <v>21</v>
      </c>
      <c r="F476" s="19" t="s">
        <v>22</v>
      </c>
      <c r="G476" s="4" t="str">
        <f t="shared" si="58"/>
        <v>//2021</v>
      </c>
      <c r="H476" s="19" t="s">
        <v>1</v>
      </c>
      <c r="I476" s="19" t="s">
        <v>0</v>
      </c>
      <c r="L476" s="22" t="e">
        <f>+VLOOKUP(K476,'[2]BASE DE PROVEEDORES'!$A:$B,2,0)</f>
        <v>#N/A</v>
      </c>
      <c r="M476" s="25">
        <v>0</v>
      </c>
      <c r="N476" s="5" t="s">
        <v>2</v>
      </c>
      <c r="O476" s="5" t="s">
        <v>2</v>
      </c>
      <c r="P476" s="6"/>
      <c r="Q476" s="5" t="s">
        <v>2</v>
      </c>
      <c r="R476" s="18" t="s">
        <v>2</v>
      </c>
      <c r="S476" s="18" t="s">
        <v>2</v>
      </c>
      <c r="T476" s="12">
        <f t="shared" si="60"/>
        <v>0</v>
      </c>
      <c r="U476" s="13">
        <f t="shared" si="59"/>
        <v>0</v>
      </c>
      <c r="V476" s="19" t="s">
        <v>3</v>
      </c>
    </row>
    <row r="477" spans="1:22" x14ac:dyDescent="0.25">
      <c r="A477" s="5" t="s">
        <v>487</v>
      </c>
      <c r="C477" s="20" t="str">
        <f t="shared" si="56"/>
        <v/>
      </c>
      <c r="D477" s="20" t="str">
        <f t="shared" si="57"/>
        <v/>
      </c>
      <c r="E477" s="19" t="s">
        <v>21</v>
      </c>
      <c r="F477" s="19" t="s">
        <v>22</v>
      </c>
      <c r="G477" s="4" t="str">
        <f t="shared" si="58"/>
        <v>//2021</v>
      </c>
      <c r="H477" s="19" t="s">
        <v>1</v>
      </c>
      <c r="I477" s="19" t="s">
        <v>0</v>
      </c>
      <c r="L477" s="22" t="e">
        <f>+VLOOKUP(K477,'[2]BASE DE PROVEEDORES'!$A:$B,2,0)</f>
        <v>#N/A</v>
      </c>
      <c r="M477" s="25">
        <v>0</v>
      </c>
      <c r="N477" s="5" t="s">
        <v>2</v>
      </c>
      <c r="O477" s="5" t="s">
        <v>2</v>
      </c>
      <c r="P477" s="6"/>
      <c r="Q477" s="5" t="s">
        <v>2</v>
      </c>
      <c r="R477" s="18" t="s">
        <v>2</v>
      </c>
      <c r="S477" s="18" t="s">
        <v>2</v>
      </c>
      <c r="T477" s="12">
        <f t="shared" si="60"/>
        <v>0</v>
      </c>
      <c r="U477" s="13">
        <f t="shared" si="59"/>
        <v>0</v>
      </c>
      <c r="V477" s="19" t="s">
        <v>3</v>
      </c>
    </row>
    <row r="478" spans="1:22" x14ac:dyDescent="0.25">
      <c r="A478" s="5" t="s">
        <v>487</v>
      </c>
      <c r="C478" s="20" t="str">
        <f t="shared" si="56"/>
        <v/>
      </c>
      <c r="D478" s="20" t="str">
        <f t="shared" si="57"/>
        <v/>
      </c>
      <c r="E478" s="19" t="s">
        <v>21</v>
      </c>
      <c r="F478" s="19" t="s">
        <v>22</v>
      </c>
      <c r="G478" s="4" t="str">
        <f t="shared" si="58"/>
        <v>//2021</v>
      </c>
      <c r="H478" s="19" t="s">
        <v>1</v>
      </c>
      <c r="I478" s="19" t="s">
        <v>0</v>
      </c>
      <c r="L478" s="22" t="e">
        <f>+VLOOKUP(K478,'[2]BASE DE PROVEEDORES'!$A:$B,2,0)</f>
        <v>#N/A</v>
      </c>
      <c r="M478" s="25">
        <v>0</v>
      </c>
      <c r="N478" s="5" t="s">
        <v>2</v>
      </c>
      <c r="O478" s="5" t="s">
        <v>2</v>
      </c>
      <c r="P478" s="6"/>
      <c r="Q478" s="5" t="s">
        <v>2</v>
      </c>
      <c r="R478" s="18" t="s">
        <v>2</v>
      </c>
      <c r="S478" s="18" t="s">
        <v>2</v>
      </c>
      <c r="T478" s="12">
        <f t="shared" si="60"/>
        <v>0</v>
      </c>
      <c r="U478" s="13">
        <f t="shared" si="59"/>
        <v>0</v>
      </c>
      <c r="V478" s="19" t="s">
        <v>3</v>
      </c>
    </row>
    <row r="479" spans="1:22" x14ac:dyDescent="0.25">
      <c r="A479" s="5" t="s">
        <v>487</v>
      </c>
      <c r="C479" s="20" t="str">
        <f t="shared" si="56"/>
        <v/>
      </c>
      <c r="D479" s="20" t="str">
        <f t="shared" si="57"/>
        <v/>
      </c>
      <c r="E479" s="19" t="s">
        <v>21</v>
      </c>
      <c r="F479" s="19" t="s">
        <v>22</v>
      </c>
      <c r="G479" s="4" t="str">
        <f t="shared" si="58"/>
        <v>//2021</v>
      </c>
      <c r="H479" s="19" t="s">
        <v>1</v>
      </c>
      <c r="I479" s="19" t="s">
        <v>0</v>
      </c>
      <c r="L479" s="22" t="e">
        <f>+VLOOKUP(K479,'[2]BASE DE PROVEEDORES'!$A:$B,2,0)</f>
        <v>#N/A</v>
      </c>
      <c r="M479" s="25">
        <v>0</v>
      </c>
      <c r="N479" s="5" t="s">
        <v>2</v>
      </c>
      <c r="O479" s="5" t="s">
        <v>2</v>
      </c>
      <c r="P479" s="6"/>
      <c r="Q479" s="5" t="s">
        <v>2</v>
      </c>
      <c r="R479" s="18" t="s">
        <v>2</v>
      </c>
      <c r="S479" s="18" t="s">
        <v>2</v>
      </c>
      <c r="T479" s="12">
        <f t="shared" si="60"/>
        <v>0</v>
      </c>
      <c r="U479" s="13">
        <f t="shared" si="59"/>
        <v>0</v>
      </c>
      <c r="V479" s="19" t="s">
        <v>3</v>
      </c>
    </row>
    <row r="480" spans="1:22" x14ac:dyDescent="0.25">
      <c r="A480" s="5" t="s">
        <v>487</v>
      </c>
      <c r="C480" s="20" t="str">
        <f t="shared" si="56"/>
        <v/>
      </c>
      <c r="D480" s="20" t="str">
        <f t="shared" si="57"/>
        <v/>
      </c>
      <c r="E480" s="19" t="s">
        <v>21</v>
      </c>
      <c r="F480" s="19" t="s">
        <v>22</v>
      </c>
      <c r="G480" s="4" t="str">
        <f t="shared" si="58"/>
        <v>//2021</v>
      </c>
      <c r="H480" s="19" t="s">
        <v>1</v>
      </c>
      <c r="I480" s="19" t="s">
        <v>0</v>
      </c>
      <c r="L480" s="22" t="e">
        <f>+VLOOKUP(K480,'[2]BASE DE PROVEEDORES'!$A:$B,2,0)</f>
        <v>#N/A</v>
      </c>
      <c r="M480" s="25">
        <v>0</v>
      </c>
      <c r="N480" s="5" t="s">
        <v>2</v>
      </c>
      <c r="O480" s="5" t="s">
        <v>2</v>
      </c>
      <c r="P480" s="6"/>
      <c r="Q480" s="5" t="s">
        <v>2</v>
      </c>
      <c r="R480" s="18" t="s">
        <v>2</v>
      </c>
      <c r="S480" s="18" t="s">
        <v>2</v>
      </c>
      <c r="T480" s="12">
        <f t="shared" si="60"/>
        <v>0</v>
      </c>
      <c r="U480" s="13">
        <f t="shared" si="59"/>
        <v>0</v>
      </c>
      <c r="V480" s="19" t="s">
        <v>3</v>
      </c>
    </row>
    <row r="481" spans="1:22" x14ac:dyDescent="0.25">
      <c r="A481" s="5" t="s">
        <v>487</v>
      </c>
      <c r="C481" s="20" t="str">
        <f t="shared" si="56"/>
        <v/>
      </c>
      <c r="D481" s="20" t="str">
        <f t="shared" si="57"/>
        <v/>
      </c>
      <c r="E481" s="19" t="s">
        <v>21</v>
      </c>
      <c r="F481" s="19" t="s">
        <v>22</v>
      </c>
      <c r="G481" s="4" t="str">
        <f t="shared" si="58"/>
        <v>//2021</v>
      </c>
      <c r="H481" s="19" t="s">
        <v>1</v>
      </c>
      <c r="I481" s="19" t="s">
        <v>0</v>
      </c>
      <c r="L481" s="22" t="e">
        <f>+VLOOKUP(K481,'[2]BASE DE PROVEEDORES'!$A:$B,2,0)</f>
        <v>#N/A</v>
      </c>
      <c r="M481" s="25">
        <v>0</v>
      </c>
      <c r="N481" s="5" t="s">
        <v>2</v>
      </c>
      <c r="O481" s="5" t="s">
        <v>2</v>
      </c>
      <c r="P481" s="6"/>
      <c r="Q481" s="5" t="s">
        <v>2</v>
      </c>
      <c r="R481" s="18" t="s">
        <v>2</v>
      </c>
      <c r="S481" s="18" t="s">
        <v>2</v>
      </c>
      <c r="T481" s="12">
        <f t="shared" si="60"/>
        <v>0</v>
      </c>
      <c r="U481" s="13">
        <f t="shared" si="59"/>
        <v>0</v>
      </c>
      <c r="V481" s="19" t="s">
        <v>3</v>
      </c>
    </row>
    <row r="482" spans="1:22" x14ac:dyDescent="0.25">
      <c r="A482" s="5" t="s">
        <v>487</v>
      </c>
      <c r="C482" s="20" t="str">
        <f t="shared" si="56"/>
        <v/>
      </c>
      <c r="D482" s="20" t="str">
        <f t="shared" si="57"/>
        <v/>
      </c>
      <c r="E482" s="19" t="s">
        <v>21</v>
      </c>
      <c r="F482" s="19" t="s">
        <v>22</v>
      </c>
      <c r="G482" s="4" t="str">
        <f t="shared" si="58"/>
        <v>//2021</v>
      </c>
      <c r="H482" s="19" t="s">
        <v>1</v>
      </c>
      <c r="I482" s="19" t="s">
        <v>0</v>
      </c>
      <c r="L482" s="22" t="e">
        <f>+VLOOKUP(K482,'[2]BASE DE PROVEEDORES'!$A:$B,2,0)</f>
        <v>#N/A</v>
      </c>
      <c r="M482" s="25">
        <v>0</v>
      </c>
      <c r="N482" s="5" t="s">
        <v>2</v>
      </c>
      <c r="O482" s="5" t="s">
        <v>2</v>
      </c>
      <c r="P482" s="6"/>
      <c r="Q482" s="5" t="s">
        <v>2</v>
      </c>
      <c r="R482" s="18" t="s">
        <v>2</v>
      </c>
      <c r="S482" s="18" t="s">
        <v>2</v>
      </c>
      <c r="T482" s="12">
        <f t="shared" si="60"/>
        <v>0</v>
      </c>
      <c r="U482" s="13">
        <f t="shared" si="59"/>
        <v>0</v>
      </c>
      <c r="V482" s="19" t="s">
        <v>3</v>
      </c>
    </row>
    <row r="483" spans="1:22" x14ac:dyDescent="0.25">
      <c r="A483" s="5" t="s">
        <v>487</v>
      </c>
      <c r="C483" s="20" t="str">
        <f t="shared" si="56"/>
        <v/>
      </c>
      <c r="D483" s="20" t="str">
        <f t="shared" si="57"/>
        <v/>
      </c>
      <c r="E483" s="19" t="s">
        <v>21</v>
      </c>
      <c r="F483" s="19" t="s">
        <v>22</v>
      </c>
      <c r="G483" s="4" t="str">
        <f t="shared" si="58"/>
        <v>//2021</v>
      </c>
      <c r="H483" s="19" t="s">
        <v>1</v>
      </c>
      <c r="I483" s="19" t="s">
        <v>0</v>
      </c>
      <c r="L483" s="22" t="e">
        <f>+VLOOKUP(K483,'[2]BASE DE PROVEEDORES'!$A:$B,2,0)</f>
        <v>#N/A</v>
      </c>
      <c r="M483" s="25">
        <v>0</v>
      </c>
      <c r="N483" s="5" t="s">
        <v>2</v>
      </c>
      <c r="O483" s="5" t="s">
        <v>2</v>
      </c>
      <c r="P483" s="6"/>
      <c r="Q483" s="5" t="s">
        <v>2</v>
      </c>
      <c r="R483" s="18" t="s">
        <v>2</v>
      </c>
      <c r="S483" s="18" t="s">
        <v>2</v>
      </c>
      <c r="T483" s="12">
        <f t="shared" si="60"/>
        <v>0</v>
      </c>
      <c r="U483" s="13">
        <f t="shared" si="59"/>
        <v>0</v>
      </c>
      <c r="V483" s="19" t="s">
        <v>3</v>
      </c>
    </row>
    <row r="484" spans="1:22" x14ac:dyDescent="0.25">
      <c r="A484" s="5" t="s">
        <v>487</v>
      </c>
      <c r="C484" s="20" t="str">
        <f t="shared" si="56"/>
        <v/>
      </c>
      <c r="D484" s="20" t="str">
        <f t="shared" si="57"/>
        <v/>
      </c>
      <c r="E484" s="19" t="s">
        <v>21</v>
      </c>
      <c r="F484" s="19" t="s">
        <v>22</v>
      </c>
      <c r="G484" s="4" t="str">
        <f t="shared" si="58"/>
        <v>//2021</v>
      </c>
      <c r="H484" s="19" t="s">
        <v>1</v>
      </c>
      <c r="I484" s="19" t="s">
        <v>0</v>
      </c>
      <c r="L484" s="22" t="e">
        <f>+VLOOKUP(K484,'[2]BASE DE PROVEEDORES'!$A:$B,2,0)</f>
        <v>#N/A</v>
      </c>
      <c r="M484" s="25">
        <v>0</v>
      </c>
      <c r="N484" s="5" t="s">
        <v>2</v>
      </c>
      <c r="O484" s="5" t="s">
        <v>2</v>
      </c>
      <c r="P484" s="6"/>
      <c r="Q484" s="5" t="s">
        <v>2</v>
      </c>
      <c r="R484" s="18" t="s">
        <v>2</v>
      </c>
      <c r="S484" s="18" t="s">
        <v>2</v>
      </c>
      <c r="T484" s="12">
        <f t="shared" si="60"/>
        <v>0</v>
      </c>
      <c r="U484" s="13">
        <f t="shared" si="59"/>
        <v>0</v>
      </c>
      <c r="V484" s="19" t="s">
        <v>3</v>
      </c>
    </row>
    <row r="485" spans="1:22" x14ac:dyDescent="0.25">
      <c r="A485" s="5" t="s">
        <v>487</v>
      </c>
      <c r="C485" s="20" t="str">
        <f t="shared" si="56"/>
        <v/>
      </c>
      <c r="D485" s="20" t="str">
        <f t="shared" si="57"/>
        <v/>
      </c>
      <c r="E485" s="19" t="s">
        <v>21</v>
      </c>
      <c r="F485" s="19" t="s">
        <v>22</v>
      </c>
      <c r="G485" s="4" t="str">
        <f t="shared" si="58"/>
        <v>//2021</v>
      </c>
      <c r="H485" s="19" t="s">
        <v>1</v>
      </c>
      <c r="I485" s="19" t="s">
        <v>0</v>
      </c>
      <c r="L485" s="22" t="e">
        <f>+VLOOKUP(K485,'[2]BASE DE PROVEEDORES'!$A:$B,2,0)</f>
        <v>#N/A</v>
      </c>
      <c r="M485" s="25">
        <v>0</v>
      </c>
      <c r="N485" s="5" t="s">
        <v>2</v>
      </c>
      <c r="O485" s="5" t="s">
        <v>2</v>
      </c>
      <c r="P485" s="6"/>
      <c r="Q485" s="5" t="s">
        <v>2</v>
      </c>
      <c r="R485" s="18" t="s">
        <v>2</v>
      </c>
      <c r="S485" s="18" t="s">
        <v>2</v>
      </c>
      <c r="T485" s="12">
        <f t="shared" si="60"/>
        <v>0</v>
      </c>
      <c r="U485" s="13">
        <f t="shared" si="59"/>
        <v>0</v>
      </c>
      <c r="V485" s="19" t="s">
        <v>3</v>
      </c>
    </row>
    <row r="486" spans="1:22" x14ac:dyDescent="0.25">
      <c r="A486" s="5" t="s">
        <v>487</v>
      </c>
      <c r="C486" s="20" t="str">
        <f t="shared" si="56"/>
        <v/>
      </c>
      <c r="D486" s="20" t="str">
        <f t="shared" si="57"/>
        <v/>
      </c>
      <c r="E486" s="19" t="s">
        <v>21</v>
      </c>
      <c r="F486" s="19" t="s">
        <v>22</v>
      </c>
      <c r="G486" s="4" t="str">
        <f t="shared" si="58"/>
        <v>//2021</v>
      </c>
      <c r="H486" s="19" t="s">
        <v>1</v>
      </c>
      <c r="I486" s="19" t="s">
        <v>0</v>
      </c>
      <c r="L486" s="22" t="e">
        <f>+VLOOKUP(K486,'[2]BASE DE PROVEEDORES'!$A:$B,2,0)</f>
        <v>#N/A</v>
      </c>
      <c r="M486" s="25">
        <v>0</v>
      </c>
      <c r="N486" s="5" t="s">
        <v>2</v>
      </c>
      <c r="O486" s="5" t="s">
        <v>2</v>
      </c>
      <c r="P486" s="6"/>
      <c r="Q486" s="5" t="s">
        <v>2</v>
      </c>
      <c r="R486" s="18" t="s">
        <v>2</v>
      </c>
      <c r="S486" s="18" t="s">
        <v>2</v>
      </c>
      <c r="T486" s="12">
        <f t="shared" si="60"/>
        <v>0</v>
      </c>
      <c r="U486" s="13">
        <f t="shared" si="59"/>
        <v>0</v>
      </c>
      <c r="V486" s="19" t="s">
        <v>3</v>
      </c>
    </row>
    <row r="487" spans="1:22" x14ac:dyDescent="0.25">
      <c r="A487" s="5" t="s">
        <v>487</v>
      </c>
      <c r="C487" s="20" t="str">
        <f t="shared" si="56"/>
        <v/>
      </c>
      <c r="D487" s="20" t="str">
        <f t="shared" si="57"/>
        <v/>
      </c>
      <c r="E487" s="19" t="s">
        <v>21</v>
      </c>
      <c r="F487" s="19" t="s">
        <v>22</v>
      </c>
      <c r="G487" s="4" t="str">
        <f t="shared" si="58"/>
        <v>//2021</v>
      </c>
      <c r="H487" s="19" t="s">
        <v>1</v>
      </c>
      <c r="I487" s="19" t="s">
        <v>0</v>
      </c>
      <c r="L487" s="22" t="e">
        <f>+VLOOKUP(K487,'[2]BASE DE PROVEEDORES'!$A:$B,2,0)</f>
        <v>#N/A</v>
      </c>
      <c r="M487" s="25">
        <v>0</v>
      </c>
      <c r="N487" s="5" t="s">
        <v>2</v>
      </c>
      <c r="O487" s="5" t="s">
        <v>2</v>
      </c>
      <c r="P487" s="6"/>
      <c r="Q487" s="5" t="s">
        <v>2</v>
      </c>
      <c r="R487" s="18" t="s">
        <v>2</v>
      </c>
      <c r="S487" s="18" t="s">
        <v>2</v>
      </c>
      <c r="T487" s="12">
        <f t="shared" si="60"/>
        <v>0</v>
      </c>
      <c r="U487" s="13">
        <f t="shared" si="59"/>
        <v>0</v>
      </c>
      <c r="V487" s="19" t="s">
        <v>3</v>
      </c>
    </row>
    <row r="488" spans="1:22" x14ac:dyDescent="0.25">
      <c r="A488" s="5" t="s">
        <v>487</v>
      </c>
      <c r="C488" s="20" t="str">
        <f t="shared" si="56"/>
        <v/>
      </c>
      <c r="D488" s="20" t="str">
        <f t="shared" si="57"/>
        <v/>
      </c>
      <c r="E488" s="19" t="s">
        <v>21</v>
      </c>
      <c r="F488" s="19" t="s">
        <v>22</v>
      </c>
      <c r="G488" s="4" t="str">
        <f t="shared" si="58"/>
        <v>//2021</v>
      </c>
      <c r="H488" s="19" t="s">
        <v>1</v>
      </c>
      <c r="I488" s="19" t="s">
        <v>0</v>
      </c>
      <c r="L488" s="22" t="e">
        <f>+VLOOKUP(K488,'[2]BASE DE PROVEEDORES'!$A:$B,2,0)</f>
        <v>#N/A</v>
      </c>
      <c r="M488" s="25">
        <v>0</v>
      </c>
      <c r="N488" s="5" t="s">
        <v>2</v>
      </c>
      <c r="O488" s="5" t="s">
        <v>2</v>
      </c>
      <c r="P488" s="6"/>
      <c r="Q488" s="5" t="s">
        <v>2</v>
      </c>
      <c r="R488" s="18" t="s">
        <v>2</v>
      </c>
      <c r="S488" s="18" t="s">
        <v>2</v>
      </c>
      <c r="T488" s="12">
        <f t="shared" si="60"/>
        <v>0</v>
      </c>
      <c r="U488" s="13">
        <f t="shared" si="59"/>
        <v>0</v>
      </c>
      <c r="V488" s="19" t="s">
        <v>3</v>
      </c>
    </row>
    <row r="489" spans="1:22" x14ac:dyDescent="0.25">
      <c r="A489" s="5" t="s">
        <v>487</v>
      </c>
      <c r="C489" s="20" t="str">
        <f t="shared" si="56"/>
        <v/>
      </c>
      <c r="D489" s="20" t="str">
        <f t="shared" si="57"/>
        <v/>
      </c>
      <c r="E489" s="19" t="s">
        <v>21</v>
      </c>
      <c r="F489" s="19" t="s">
        <v>22</v>
      </c>
      <c r="G489" s="4" t="str">
        <f t="shared" si="58"/>
        <v>//2021</v>
      </c>
      <c r="H489" s="19" t="s">
        <v>1</v>
      </c>
      <c r="I489" s="19" t="s">
        <v>0</v>
      </c>
      <c r="L489" s="22" t="e">
        <f>+VLOOKUP(K489,'[2]BASE DE PROVEEDORES'!$A:$B,2,0)</f>
        <v>#N/A</v>
      </c>
      <c r="M489" s="25">
        <v>0</v>
      </c>
      <c r="N489" s="5" t="s">
        <v>2</v>
      </c>
      <c r="O489" s="5" t="s">
        <v>2</v>
      </c>
      <c r="P489" s="6"/>
      <c r="Q489" s="5" t="s">
        <v>2</v>
      </c>
      <c r="R489" s="18" t="s">
        <v>2</v>
      </c>
      <c r="S489" s="18" t="s">
        <v>2</v>
      </c>
      <c r="T489" s="12">
        <f t="shared" si="60"/>
        <v>0</v>
      </c>
      <c r="U489" s="13">
        <f t="shared" si="59"/>
        <v>0</v>
      </c>
      <c r="V489" s="19" t="s">
        <v>3</v>
      </c>
    </row>
    <row r="490" spans="1:22" x14ac:dyDescent="0.25">
      <c r="A490" s="5" t="s">
        <v>487</v>
      </c>
      <c r="C490" s="20" t="str">
        <f t="shared" si="56"/>
        <v/>
      </c>
      <c r="D490" s="20" t="str">
        <f t="shared" si="57"/>
        <v/>
      </c>
      <c r="E490" s="19" t="s">
        <v>21</v>
      </c>
      <c r="F490" s="19" t="s">
        <v>22</v>
      </c>
      <c r="G490" s="4" t="str">
        <f t="shared" si="58"/>
        <v>//2021</v>
      </c>
      <c r="H490" s="19" t="s">
        <v>1</v>
      </c>
      <c r="I490" s="19" t="s">
        <v>0</v>
      </c>
      <c r="L490" s="22" t="e">
        <f>+VLOOKUP(K490,'[2]BASE DE PROVEEDORES'!$A:$B,2,0)</f>
        <v>#N/A</v>
      </c>
      <c r="M490" s="25">
        <v>0</v>
      </c>
      <c r="N490" s="5" t="s">
        <v>2</v>
      </c>
      <c r="O490" s="5" t="s">
        <v>2</v>
      </c>
      <c r="P490" s="6"/>
      <c r="Q490" s="5" t="s">
        <v>2</v>
      </c>
      <c r="R490" s="18" t="s">
        <v>2</v>
      </c>
      <c r="S490" s="18" t="s">
        <v>2</v>
      </c>
      <c r="T490" s="12">
        <f t="shared" si="60"/>
        <v>0</v>
      </c>
      <c r="U490" s="13">
        <f t="shared" si="59"/>
        <v>0</v>
      </c>
      <c r="V490" s="19" t="s">
        <v>3</v>
      </c>
    </row>
    <row r="491" spans="1:22" x14ac:dyDescent="0.25">
      <c r="A491" s="5" t="s">
        <v>487</v>
      </c>
      <c r="C491" s="20" t="str">
        <f t="shared" si="56"/>
        <v/>
      </c>
      <c r="D491" s="20" t="str">
        <f t="shared" si="57"/>
        <v/>
      </c>
      <c r="E491" s="19" t="s">
        <v>21</v>
      </c>
      <c r="F491" s="19" t="s">
        <v>22</v>
      </c>
      <c r="G491" s="4" t="str">
        <f t="shared" si="58"/>
        <v>//2021</v>
      </c>
      <c r="H491" s="19" t="s">
        <v>1</v>
      </c>
      <c r="I491" s="19" t="s">
        <v>0</v>
      </c>
      <c r="L491" s="22" t="e">
        <f>+VLOOKUP(K491,'[2]BASE DE PROVEEDORES'!$A:$B,2,0)</f>
        <v>#N/A</v>
      </c>
      <c r="M491" s="25">
        <v>0</v>
      </c>
      <c r="N491" s="5" t="s">
        <v>2</v>
      </c>
      <c r="O491" s="5" t="s">
        <v>2</v>
      </c>
      <c r="P491" s="6"/>
      <c r="Q491" s="5" t="s">
        <v>2</v>
      </c>
      <c r="R491" s="18" t="s">
        <v>2</v>
      </c>
      <c r="S491" s="18" t="s">
        <v>2</v>
      </c>
      <c r="T491" s="12">
        <f t="shared" si="60"/>
        <v>0</v>
      </c>
      <c r="U491" s="13">
        <f t="shared" si="59"/>
        <v>0</v>
      </c>
      <c r="V491" s="19" t="s">
        <v>3</v>
      </c>
    </row>
    <row r="492" spans="1:22" x14ac:dyDescent="0.25">
      <c r="A492" s="5" t="s">
        <v>487</v>
      </c>
      <c r="C492" s="20" t="str">
        <f t="shared" si="56"/>
        <v/>
      </c>
      <c r="D492" s="20" t="str">
        <f t="shared" si="57"/>
        <v/>
      </c>
      <c r="E492" s="19" t="s">
        <v>21</v>
      </c>
      <c r="F492" s="19" t="s">
        <v>22</v>
      </c>
      <c r="G492" s="4" t="str">
        <f t="shared" si="58"/>
        <v>//2021</v>
      </c>
      <c r="H492" s="19" t="s">
        <v>1</v>
      </c>
      <c r="I492" s="19" t="s">
        <v>0</v>
      </c>
      <c r="L492" s="22" t="e">
        <f>+VLOOKUP(K492,'[2]BASE DE PROVEEDORES'!$A:$B,2,0)</f>
        <v>#N/A</v>
      </c>
      <c r="M492" s="25">
        <v>0</v>
      </c>
      <c r="N492" s="5" t="s">
        <v>2</v>
      </c>
      <c r="O492" s="5" t="s">
        <v>2</v>
      </c>
      <c r="P492" s="6"/>
      <c r="Q492" s="5" t="s">
        <v>2</v>
      </c>
      <c r="R492" s="18" t="s">
        <v>2</v>
      </c>
      <c r="S492" s="18" t="s">
        <v>2</v>
      </c>
      <c r="T492" s="12">
        <f t="shared" si="60"/>
        <v>0</v>
      </c>
      <c r="U492" s="13">
        <f t="shared" si="59"/>
        <v>0</v>
      </c>
      <c r="V492" s="19" t="s">
        <v>3</v>
      </c>
    </row>
    <row r="493" spans="1:22" x14ac:dyDescent="0.25">
      <c r="A493" s="5" t="s">
        <v>487</v>
      </c>
      <c r="C493" s="20" t="str">
        <f t="shared" si="56"/>
        <v/>
      </c>
      <c r="D493" s="20" t="str">
        <f t="shared" si="57"/>
        <v/>
      </c>
      <c r="E493" s="19" t="s">
        <v>21</v>
      </c>
      <c r="F493" s="19" t="s">
        <v>22</v>
      </c>
      <c r="G493" s="4" t="str">
        <f t="shared" si="58"/>
        <v>//2021</v>
      </c>
      <c r="H493" s="19" t="s">
        <v>1</v>
      </c>
      <c r="I493" s="19" t="s">
        <v>0</v>
      </c>
      <c r="L493" s="22" t="e">
        <f>+VLOOKUP(K493,'[2]BASE DE PROVEEDORES'!$A:$B,2,0)</f>
        <v>#N/A</v>
      </c>
      <c r="M493" s="25">
        <v>0</v>
      </c>
      <c r="N493" s="5" t="s">
        <v>2</v>
      </c>
      <c r="O493" s="5" t="s">
        <v>2</v>
      </c>
      <c r="P493" s="6"/>
      <c r="Q493" s="5" t="s">
        <v>2</v>
      </c>
      <c r="R493" s="18" t="s">
        <v>2</v>
      </c>
      <c r="S493" s="18" t="s">
        <v>2</v>
      </c>
      <c r="T493" s="12">
        <f t="shared" si="60"/>
        <v>0</v>
      </c>
      <c r="U493" s="13">
        <f t="shared" si="59"/>
        <v>0</v>
      </c>
      <c r="V493" s="19" t="s">
        <v>3</v>
      </c>
    </row>
    <row r="494" spans="1:22" x14ac:dyDescent="0.25">
      <c r="A494" s="5" t="s">
        <v>487</v>
      </c>
      <c r="C494" s="20" t="str">
        <f t="shared" si="56"/>
        <v/>
      </c>
      <c r="D494" s="20" t="str">
        <f t="shared" si="57"/>
        <v/>
      </c>
      <c r="E494" s="19" t="s">
        <v>21</v>
      </c>
      <c r="F494" s="19" t="s">
        <v>22</v>
      </c>
      <c r="G494" s="4" t="str">
        <f t="shared" si="58"/>
        <v>//2021</v>
      </c>
      <c r="H494" s="19" t="s">
        <v>1</v>
      </c>
      <c r="I494" s="19" t="s">
        <v>0</v>
      </c>
      <c r="L494" s="22" t="e">
        <f>+VLOOKUP(K494,'[2]BASE DE PROVEEDORES'!$A:$B,2,0)</f>
        <v>#N/A</v>
      </c>
      <c r="M494" s="25">
        <v>0</v>
      </c>
      <c r="N494" s="5" t="s">
        <v>2</v>
      </c>
      <c r="O494" s="5" t="s">
        <v>2</v>
      </c>
      <c r="P494" s="6"/>
      <c r="Q494" s="5" t="s">
        <v>2</v>
      </c>
      <c r="R494" s="18" t="s">
        <v>2</v>
      </c>
      <c r="S494" s="18" t="s">
        <v>2</v>
      </c>
      <c r="T494" s="12">
        <f t="shared" si="60"/>
        <v>0</v>
      </c>
      <c r="U494" s="13">
        <f t="shared" si="59"/>
        <v>0</v>
      </c>
      <c r="V494" s="19" t="s">
        <v>3</v>
      </c>
    </row>
    <row r="495" spans="1:22" x14ac:dyDescent="0.25">
      <c r="A495" s="5" t="s">
        <v>487</v>
      </c>
      <c r="C495" s="20" t="str">
        <f t="shared" si="56"/>
        <v/>
      </c>
      <c r="D495" s="20" t="str">
        <f t="shared" si="57"/>
        <v/>
      </c>
      <c r="E495" s="19" t="s">
        <v>21</v>
      </c>
      <c r="F495" s="19" t="s">
        <v>22</v>
      </c>
      <c r="G495" s="4" t="str">
        <f t="shared" si="58"/>
        <v>//2021</v>
      </c>
      <c r="H495" s="19" t="s">
        <v>1</v>
      </c>
      <c r="I495" s="19" t="s">
        <v>0</v>
      </c>
      <c r="L495" s="22" t="e">
        <f>+VLOOKUP(K495,'[2]BASE DE PROVEEDORES'!$A:$B,2,0)</f>
        <v>#N/A</v>
      </c>
      <c r="M495" s="25">
        <v>0</v>
      </c>
      <c r="N495" s="5" t="s">
        <v>2</v>
      </c>
      <c r="O495" s="5" t="s">
        <v>2</v>
      </c>
      <c r="P495" s="6"/>
      <c r="Q495" s="5" t="s">
        <v>2</v>
      </c>
      <c r="R495" s="18" t="s">
        <v>2</v>
      </c>
      <c r="S495" s="18" t="s">
        <v>2</v>
      </c>
      <c r="T495" s="12">
        <f t="shared" si="60"/>
        <v>0</v>
      </c>
      <c r="U495" s="13">
        <f t="shared" si="59"/>
        <v>0</v>
      </c>
      <c r="V495" s="19" t="s">
        <v>3</v>
      </c>
    </row>
    <row r="496" spans="1:22" x14ac:dyDescent="0.25">
      <c r="A496" s="5" t="s">
        <v>487</v>
      </c>
      <c r="C496" s="20" t="str">
        <f t="shared" si="56"/>
        <v/>
      </c>
      <c r="D496" s="20" t="str">
        <f t="shared" si="57"/>
        <v/>
      </c>
      <c r="E496" s="19" t="s">
        <v>21</v>
      </c>
      <c r="F496" s="19" t="s">
        <v>22</v>
      </c>
      <c r="G496" s="4" t="str">
        <f t="shared" si="58"/>
        <v>//2021</v>
      </c>
      <c r="H496" s="19" t="s">
        <v>1</v>
      </c>
      <c r="I496" s="19" t="s">
        <v>0</v>
      </c>
      <c r="L496" s="22" t="e">
        <f>+VLOOKUP(K496,'[2]BASE DE PROVEEDORES'!$A:$B,2,0)</f>
        <v>#N/A</v>
      </c>
      <c r="M496" s="25">
        <v>0</v>
      </c>
      <c r="N496" s="5" t="s">
        <v>2</v>
      </c>
      <c r="O496" s="5" t="s">
        <v>2</v>
      </c>
      <c r="P496" s="6"/>
      <c r="Q496" s="5" t="s">
        <v>2</v>
      </c>
      <c r="R496" s="18" t="s">
        <v>2</v>
      </c>
      <c r="S496" s="18" t="s">
        <v>2</v>
      </c>
      <c r="T496" s="12">
        <f t="shared" si="60"/>
        <v>0</v>
      </c>
      <c r="U496" s="13">
        <f t="shared" si="59"/>
        <v>0</v>
      </c>
      <c r="V496" s="19" t="s">
        <v>3</v>
      </c>
    </row>
    <row r="497" spans="1:22" x14ac:dyDescent="0.25">
      <c r="A497" s="5" t="s">
        <v>487</v>
      </c>
      <c r="C497" s="20" t="str">
        <f t="shared" si="56"/>
        <v/>
      </c>
      <c r="D497" s="20" t="str">
        <f t="shared" si="57"/>
        <v/>
      </c>
      <c r="E497" s="19" t="s">
        <v>21</v>
      </c>
      <c r="F497" s="19" t="s">
        <v>22</v>
      </c>
      <c r="G497" s="4" t="str">
        <f t="shared" si="58"/>
        <v>//2021</v>
      </c>
      <c r="H497" s="19" t="s">
        <v>1</v>
      </c>
      <c r="I497" s="19" t="s">
        <v>0</v>
      </c>
      <c r="L497" s="22" t="e">
        <f>+VLOOKUP(K497,'[2]BASE DE PROVEEDORES'!$A:$B,2,0)</f>
        <v>#N/A</v>
      </c>
      <c r="M497" s="25">
        <v>0</v>
      </c>
      <c r="N497" s="5" t="s">
        <v>2</v>
      </c>
      <c r="O497" s="5" t="s">
        <v>2</v>
      </c>
      <c r="P497" s="6"/>
      <c r="Q497" s="5" t="s">
        <v>2</v>
      </c>
      <c r="R497" s="18" t="s">
        <v>2</v>
      </c>
      <c r="S497" s="18" t="s">
        <v>2</v>
      </c>
      <c r="T497" s="12">
        <f t="shared" si="60"/>
        <v>0</v>
      </c>
      <c r="U497" s="13">
        <f t="shared" si="59"/>
        <v>0</v>
      </c>
      <c r="V497" s="19" t="s">
        <v>3</v>
      </c>
    </row>
    <row r="498" spans="1:22" x14ac:dyDescent="0.25">
      <c r="A498" s="5" t="s">
        <v>487</v>
      </c>
      <c r="C498" s="20" t="str">
        <f t="shared" si="56"/>
        <v/>
      </c>
      <c r="D498" s="20" t="str">
        <f t="shared" si="57"/>
        <v/>
      </c>
      <c r="E498" s="19" t="s">
        <v>21</v>
      </c>
      <c r="F498" s="19" t="s">
        <v>22</v>
      </c>
      <c r="G498" s="4" t="str">
        <f t="shared" si="58"/>
        <v>//2021</v>
      </c>
      <c r="H498" s="19" t="s">
        <v>1</v>
      </c>
      <c r="I498" s="19" t="s">
        <v>0</v>
      </c>
      <c r="L498" s="22" t="e">
        <f>+VLOOKUP(K498,'[2]BASE DE PROVEEDORES'!$A:$B,2,0)</f>
        <v>#N/A</v>
      </c>
      <c r="M498" s="25">
        <v>0</v>
      </c>
      <c r="N498" s="5" t="s">
        <v>2</v>
      </c>
      <c r="O498" s="5" t="s">
        <v>2</v>
      </c>
      <c r="P498" s="6"/>
      <c r="Q498" s="5" t="s">
        <v>2</v>
      </c>
      <c r="R498" s="18" t="s">
        <v>2</v>
      </c>
      <c r="S498" s="18" t="s">
        <v>2</v>
      </c>
      <c r="T498" s="12">
        <f t="shared" si="60"/>
        <v>0</v>
      </c>
      <c r="U498" s="13">
        <f t="shared" si="59"/>
        <v>0</v>
      </c>
      <c r="V498" s="19" t="s">
        <v>3</v>
      </c>
    </row>
    <row r="499" spans="1:22" x14ac:dyDescent="0.25">
      <c r="A499" s="5" t="s">
        <v>487</v>
      </c>
      <c r="C499" s="20" t="str">
        <f t="shared" si="56"/>
        <v/>
      </c>
      <c r="D499" s="20" t="str">
        <f t="shared" si="57"/>
        <v/>
      </c>
      <c r="E499" s="19" t="s">
        <v>21</v>
      </c>
      <c r="F499" s="19" t="s">
        <v>22</v>
      </c>
      <c r="G499" s="4" t="str">
        <f t="shared" si="58"/>
        <v>//2021</v>
      </c>
      <c r="H499" s="19" t="s">
        <v>1</v>
      </c>
      <c r="I499" s="19" t="s">
        <v>0</v>
      </c>
      <c r="L499" s="22" t="e">
        <f>+VLOOKUP(K499,'[2]BASE DE PROVEEDORES'!$A:$B,2,0)</f>
        <v>#N/A</v>
      </c>
      <c r="M499" s="25">
        <v>0</v>
      </c>
      <c r="N499" s="5" t="s">
        <v>2</v>
      </c>
      <c r="O499" s="5" t="s">
        <v>2</v>
      </c>
      <c r="P499" s="6"/>
      <c r="Q499" s="5" t="s">
        <v>2</v>
      </c>
      <c r="R499" s="18" t="s">
        <v>2</v>
      </c>
      <c r="S499" s="18" t="s">
        <v>2</v>
      </c>
      <c r="T499" s="12">
        <f t="shared" si="60"/>
        <v>0</v>
      </c>
      <c r="U499" s="13">
        <f t="shared" si="59"/>
        <v>0</v>
      </c>
      <c r="V499" s="19" t="s">
        <v>3</v>
      </c>
    </row>
    <row r="500" spans="1:22" x14ac:dyDescent="0.25">
      <c r="A500" s="5" t="s">
        <v>487</v>
      </c>
      <c r="C500" s="20" t="str">
        <f t="shared" ref="C500:C563" si="61">+LEFT(B500,2)</f>
        <v/>
      </c>
      <c r="D500" s="20" t="str">
        <f t="shared" ref="D500:D563" si="62">+RIGHT(B500,2)</f>
        <v/>
      </c>
      <c r="E500" s="19" t="s">
        <v>21</v>
      </c>
      <c r="F500" s="19" t="s">
        <v>22</v>
      </c>
      <c r="G500" s="4" t="str">
        <f t="shared" ref="G500:G563" si="63">+C500&amp;F500&amp;D500&amp;F500&amp;E500</f>
        <v>//2021</v>
      </c>
      <c r="H500" s="19" t="s">
        <v>1</v>
      </c>
      <c r="I500" s="19" t="s">
        <v>0</v>
      </c>
      <c r="L500" s="22" t="e">
        <f>+VLOOKUP(K500,'[2]BASE DE PROVEEDORES'!$A:$B,2,0)</f>
        <v>#N/A</v>
      </c>
      <c r="M500" s="25">
        <v>0</v>
      </c>
      <c r="N500" s="5" t="s">
        <v>2</v>
      </c>
      <c r="O500" s="5" t="s">
        <v>2</v>
      </c>
      <c r="P500" s="6"/>
      <c r="Q500" s="5" t="s">
        <v>2</v>
      </c>
      <c r="R500" s="18" t="s">
        <v>2</v>
      </c>
      <c r="S500" s="18" t="s">
        <v>2</v>
      </c>
      <c r="T500" s="12">
        <f t="shared" ref="T500:T563" si="64">+P500*0.13</f>
        <v>0</v>
      </c>
      <c r="U500" s="13">
        <f t="shared" ref="U500:U563" si="65">+M500+P500+T500</f>
        <v>0</v>
      </c>
      <c r="V500" s="19" t="s">
        <v>3</v>
      </c>
    </row>
    <row r="501" spans="1:22" x14ac:dyDescent="0.25">
      <c r="A501" s="5" t="s">
        <v>487</v>
      </c>
      <c r="C501" s="20" t="str">
        <f t="shared" si="61"/>
        <v/>
      </c>
      <c r="D501" s="20" t="str">
        <f t="shared" si="62"/>
        <v/>
      </c>
      <c r="E501" s="19" t="s">
        <v>21</v>
      </c>
      <c r="F501" s="19" t="s">
        <v>22</v>
      </c>
      <c r="G501" s="4" t="str">
        <f t="shared" si="63"/>
        <v>//2021</v>
      </c>
      <c r="H501" s="19" t="s">
        <v>1</v>
      </c>
      <c r="I501" s="19" t="s">
        <v>0</v>
      </c>
      <c r="L501" s="22" t="e">
        <f>+VLOOKUP(K501,'[2]BASE DE PROVEEDORES'!$A:$B,2,0)</f>
        <v>#N/A</v>
      </c>
      <c r="M501" s="25">
        <v>0</v>
      </c>
      <c r="N501" s="5" t="s">
        <v>2</v>
      </c>
      <c r="O501" s="5" t="s">
        <v>2</v>
      </c>
      <c r="P501" s="6"/>
      <c r="Q501" s="5" t="s">
        <v>2</v>
      </c>
      <c r="R501" s="18" t="s">
        <v>2</v>
      </c>
      <c r="S501" s="18" t="s">
        <v>2</v>
      </c>
      <c r="T501" s="12">
        <f t="shared" si="64"/>
        <v>0</v>
      </c>
      <c r="U501" s="13">
        <f t="shared" si="65"/>
        <v>0</v>
      </c>
      <c r="V501" s="19" t="s">
        <v>3</v>
      </c>
    </row>
    <row r="502" spans="1:22" x14ac:dyDescent="0.25">
      <c r="A502" s="5" t="s">
        <v>487</v>
      </c>
      <c r="C502" s="20" t="str">
        <f t="shared" si="61"/>
        <v/>
      </c>
      <c r="D502" s="20" t="str">
        <f t="shared" si="62"/>
        <v/>
      </c>
      <c r="E502" s="19" t="s">
        <v>21</v>
      </c>
      <c r="F502" s="19" t="s">
        <v>22</v>
      </c>
      <c r="G502" s="4" t="str">
        <f t="shared" si="63"/>
        <v>//2021</v>
      </c>
      <c r="H502" s="19" t="s">
        <v>1</v>
      </c>
      <c r="I502" s="19" t="s">
        <v>0</v>
      </c>
      <c r="L502" s="22" t="e">
        <f>+VLOOKUP(K502,'[2]BASE DE PROVEEDORES'!$A:$B,2,0)</f>
        <v>#N/A</v>
      </c>
      <c r="M502" s="25">
        <v>0</v>
      </c>
      <c r="N502" s="5" t="s">
        <v>2</v>
      </c>
      <c r="O502" s="5" t="s">
        <v>2</v>
      </c>
      <c r="P502" s="6"/>
      <c r="Q502" s="5" t="s">
        <v>2</v>
      </c>
      <c r="R502" s="18" t="s">
        <v>2</v>
      </c>
      <c r="S502" s="18" t="s">
        <v>2</v>
      </c>
      <c r="T502" s="12">
        <f t="shared" si="64"/>
        <v>0</v>
      </c>
      <c r="U502" s="13">
        <f t="shared" si="65"/>
        <v>0</v>
      </c>
      <c r="V502" s="19" t="s">
        <v>3</v>
      </c>
    </row>
    <row r="503" spans="1:22" x14ac:dyDescent="0.25">
      <c r="A503" s="5" t="s">
        <v>487</v>
      </c>
      <c r="C503" s="20" t="str">
        <f t="shared" si="61"/>
        <v/>
      </c>
      <c r="D503" s="20" t="str">
        <f t="shared" si="62"/>
        <v/>
      </c>
      <c r="E503" s="19" t="s">
        <v>21</v>
      </c>
      <c r="F503" s="19" t="s">
        <v>22</v>
      </c>
      <c r="G503" s="4" t="str">
        <f t="shared" si="63"/>
        <v>//2021</v>
      </c>
      <c r="H503" s="19" t="s">
        <v>1</v>
      </c>
      <c r="I503" s="19" t="s">
        <v>0</v>
      </c>
      <c r="L503" s="22" t="e">
        <f>+VLOOKUP(K503,'[2]BASE DE PROVEEDORES'!$A:$B,2,0)</f>
        <v>#N/A</v>
      </c>
      <c r="M503" s="25">
        <v>0</v>
      </c>
      <c r="N503" s="5" t="s">
        <v>2</v>
      </c>
      <c r="O503" s="5" t="s">
        <v>2</v>
      </c>
      <c r="P503" s="6"/>
      <c r="Q503" s="5" t="s">
        <v>2</v>
      </c>
      <c r="R503" s="18" t="s">
        <v>2</v>
      </c>
      <c r="S503" s="18" t="s">
        <v>2</v>
      </c>
      <c r="T503" s="12">
        <f t="shared" si="64"/>
        <v>0</v>
      </c>
      <c r="U503" s="13">
        <f t="shared" si="65"/>
        <v>0</v>
      </c>
      <c r="V503" s="19" t="s">
        <v>3</v>
      </c>
    </row>
    <row r="504" spans="1:22" x14ac:dyDescent="0.25">
      <c r="A504" s="5" t="s">
        <v>487</v>
      </c>
      <c r="C504" s="20" t="str">
        <f t="shared" si="61"/>
        <v/>
      </c>
      <c r="D504" s="20" t="str">
        <f t="shared" si="62"/>
        <v/>
      </c>
      <c r="E504" s="19" t="s">
        <v>21</v>
      </c>
      <c r="F504" s="19" t="s">
        <v>22</v>
      </c>
      <c r="G504" s="4" t="str">
        <f t="shared" si="63"/>
        <v>//2021</v>
      </c>
      <c r="H504" s="19" t="s">
        <v>1</v>
      </c>
      <c r="I504" s="19" t="s">
        <v>0</v>
      </c>
      <c r="L504" s="22" t="e">
        <f>+VLOOKUP(K504,'[2]BASE DE PROVEEDORES'!$A:$B,2,0)</f>
        <v>#N/A</v>
      </c>
      <c r="M504" s="25">
        <v>0</v>
      </c>
      <c r="N504" s="5" t="s">
        <v>2</v>
      </c>
      <c r="O504" s="5" t="s">
        <v>2</v>
      </c>
      <c r="P504" s="6"/>
      <c r="Q504" s="5" t="s">
        <v>2</v>
      </c>
      <c r="R504" s="18" t="s">
        <v>2</v>
      </c>
      <c r="S504" s="18" t="s">
        <v>2</v>
      </c>
      <c r="T504" s="12">
        <f t="shared" si="64"/>
        <v>0</v>
      </c>
      <c r="U504" s="13">
        <f t="shared" si="65"/>
        <v>0</v>
      </c>
      <c r="V504" s="19" t="s">
        <v>3</v>
      </c>
    </row>
    <row r="505" spans="1:22" x14ac:dyDescent="0.25">
      <c r="A505" s="5" t="s">
        <v>487</v>
      </c>
      <c r="C505" s="20" t="str">
        <f t="shared" si="61"/>
        <v/>
      </c>
      <c r="D505" s="20" t="str">
        <f t="shared" si="62"/>
        <v/>
      </c>
      <c r="E505" s="19" t="s">
        <v>21</v>
      </c>
      <c r="F505" s="19" t="s">
        <v>22</v>
      </c>
      <c r="G505" s="4" t="str">
        <f t="shared" si="63"/>
        <v>//2021</v>
      </c>
      <c r="H505" s="19" t="s">
        <v>1</v>
      </c>
      <c r="I505" s="19" t="s">
        <v>0</v>
      </c>
      <c r="L505" s="22" t="e">
        <f>+VLOOKUP(K505,'[2]BASE DE PROVEEDORES'!$A:$B,2,0)</f>
        <v>#N/A</v>
      </c>
      <c r="M505" s="25">
        <v>0</v>
      </c>
      <c r="N505" s="5" t="s">
        <v>2</v>
      </c>
      <c r="O505" s="5" t="s">
        <v>2</v>
      </c>
      <c r="P505" s="6"/>
      <c r="Q505" s="5" t="s">
        <v>2</v>
      </c>
      <c r="R505" s="18" t="s">
        <v>2</v>
      </c>
      <c r="S505" s="18" t="s">
        <v>2</v>
      </c>
      <c r="T505" s="12">
        <f t="shared" si="64"/>
        <v>0</v>
      </c>
      <c r="U505" s="13">
        <f t="shared" si="65"/>
        <v>0</v>
      </c>
      <c r="V505" s="19" t="s">
        <v>3</v>
      </c>
    </row>
    <row r="506" spans="1:22" x14ac:dyDescent="0.25">
      <c r="A506" s="5" t="s">
        <v>487</v>
      </c>
      <c r="C506" s="20" t="str">
        <f t="shared" si="61"/>
        <v/>
      </c>
      <c r="D506" s="20" t="str">
        <f t="shared" si="62"/>
        <v/>
      </c>
      <c r="E506" s="19" t="s">
        <v>21</v>
      </c>
      <c r="F506" s="19" t="s">
        <v>22</v>
      </c>
      <c r="G506" s="4" t="str">
        <f t="shared" si="63"/>
        <v>//2021</v>
      </c>
      <c r="H506" s="19" t="s">
        <v>1</v>
      </c>
      <c r="I506" s="19" t="s">
        <v>0</v>
      </c>
      <c r="L506" s="22" t="e">
        <f>+VLOOKUP(K506,'[2]BASE DE PROVEEDORES'!$A:$B,2,0)</f>
        <v>#N/A</v>
      </c>
      <c r="M506" s="25">
        <v>0</v>
      </c>
      <c r="N506" s="5" t="s">
        <v>2</v>
      </c>
      <c r="O506" s="5" t="s">
        <v>2</v>
      </c>
      <c r="P506" s="6"/>
      <c r="Q506" s="5" t="s">
        <v>2</v>
      </c>
      <c r="R506" s="18" t="s">
        <v>2</v>
      </c>
      <c r="S506" s="18" t="s">
        <v>2</v>
      </c>
      <c r="T506" s="12">
        <f t="shared" si="64"/>
        <v>0</v>
      </c>
      <c r="U506" s="13">
        <f t="shared" si="65"/>
        <v>0</v>
      </c>
      <c r="V506" s="19" t="s">
        <v>3</v>
      </c>
    </row>
    <row r="507" spans="1:22" x14ac:dyDescent="0.25">
      <c r="A507" s="5" t="s">
        <v>487</v>
      </c>
      <c r="C507" s="20" t="str">
        <f t="shared" si="61"/>
        <v/>
      </c>
      <c r="D507" s="20" t="str">
        <f t="shared" si="62"/>
        <v/>
      </c>
      <c r="E507" s="19" t="s">
        <v>21</v>
      </c>
      <c r="F507" s="19" t="s">
        <v>22</v>
      </c>
      <c r="G507" s="4" t="str">
        <f t="shared" si="63"/>
        <v>//2021</v>
      </c>
      <c r="H507" s="19" t="s">
        <v>1</v>
      </c>
      <c r="I507" s="19" t="s">
        <v>0</v>
      </c>
      <c r="L507" s="22" t="e">
        <f>+VLOOKUP(K507,'[2]BASE DE PROVEEDORES'!$A:$B,2,0)</f>
        <v>#N/A</v>
      </c>
      <c r="M507" s="25">
        <v>0</v>
      </c>
      <c r="N507" s="5" t="s">
        <v>2</v>
      </c>
      <c r="O507" s="5" t="s">
        <v>2</v>
      </c>
      <c r="P507" s="6"/>
      <c r="Q507" s="5" t="s">
        <v>2</v>
      </c>
      <c r="R507" s="18" t="s">
        <v>2</v>
      </c>
      <c r="S507" s="18" t="s">
        <v>2</v>
      </c>
      <c r="T507" s="12">
        <f t="shared" si="64"/>
        <v>0</v>
      </c>
      <c r="U507" s="13">
        <f t="shared" si="65"/>
        <v>0</v>
      </c>
      <c r="V507" s="19" t="s">
        <v>3</v>
      </c>
    </row>
    <row r="508" spans="1:22" x14ac:dyDescent="0.25">
      <c r="A508" s="5" t="s">
        <v>487</v>
      </c>
      <c r="C508" s="20" t="str">
        <f t="shared" si="61"/>
        <v/>
      </c>
      <c r="D508" s="20" t="str">
        <f t="shared" si="62"/>
        <v/>
      </c>
      <c r="E508" s="19" t="s">
        <v>21</v>
      </c>
      <c r="F508" s="19" t="s">
        <v>22</v>
      </c>
      <c r="G508" s="4" t="str">
        <f t="shared" si="63"/>
        <v>//2021</v>
      </c>
      <c r="H508" s="19" t="s">
        <v>1</v>
      </c>
      <c r="I508" s="19" t="s">
        <v>0</v>
      </c>
      <c r="L508" s="22" t="e">
        <f>+VLOOKUP(K508,'[2]BASE DE PROVEEDORES'!$A:$B,2,0)</f>
        <v>#N/A</v>
      </c>
      <c r="M508" s="25">
        <v>0</v>
      </c>
      <c r="N508" s="5" t="s">
        <v>2</v>
      </c>
      <c r="O508" s="5" t="s">
        <v>2</v>
      </c>
      <c r="P508" s="6"/>
      <c r="Q508" s="5" t="s">
        <v>2</v>
      </c>
      <c r="R508" s="18" t="s">
        <v>2</v>
      </c>
      <c r="S508" s="18" t="s">
        <v>2</v>
      </c>
      <c r="T508" s="12">
        <f t="shared" si="64"/>
        <v>0</v>
      </c>
      <c r="U508" s="13">
        <f t="shared" si="65"/>
        <v>0</v>
      </c>
      <c r="V508" s="19" t="s">
        <v>3</v>
      </c>
    </row>
    <row r="509" spans="1:22" x14ac:dyDescent="0.25">
      <c r="A509" s="5" t="s">
        <v>487</v>
      </c>
      <c r="C509" s="20" t="str">
        <f t="shared" si="61"/>
        <v/>
      </c>
      <c r="D509" s="20" t="str">
        <f t="shared" si="62"/>
        <v/>
      </c>
      <c r="E509" s="19" t="s">
        <v>21</v>
      </c>
      <c r="F509" s="19" t="s">
        <v>22</v>
      </c>
      <c r="G509" s="4" t="str">
        <f t="shared" si="63"/>
        <v>//2021</v>
      </c>
      <c r="H509" s="19" t="s">
        <v>1</v>
      </c>
      <c r="I509" s="19" t="s">
        <v>0</v>
      </c>
      <c r="L509" s="22" t="e">
        <f>+VLOOKUP(K509,'[2]BASE DE PROVEEDORES'!$A:$B,2,0)</f>
        <v>#N/A</v>
      </c>
      <c r="M509" s="25">
        <v>0</v>
      </c>
      <c r="N509" s="5" t="s">
        <v>2</v>
      </c>
      <c r="O509" s="5" t="s">
        <v>2</v>
      </c>
      <c r="P509" s="6"/>
      <c r="Q509" s="5" t="s">
        <v>2</v>
      </c>
      <c r="R509" s="18" t="s">
        <v>2</v>
      </c>
      <c r="S509" s="18" t="s">
        <v>2</v>
      </c>
      <c r="T509" s="12">
        <f t="shared" si="64"/>
        <v>0</v>
      </c>
      <c r="U509" s="13">
        <f t="shared" si="65"/>
        <v>0</v>
      </c>
      <c r="V509" s="19" t="s">
        <v>3</v>
      </c>
    </row>
    <row r="510" spans="1:22" x14ac:dyDescent="0.25">
      <c r="A510" s="5" t="s">
        <v>487</v>
      </c>
      <c r="C510" s="20" t="str">
        <f t="shared" si="61"/>
        <v/>
      </c>
      <c r="D510" s="20" t="str">
        <f t="shared" si="62"/>
        <v/>
      </c>
      <c r="E510" s="19" t="s">
        <v>21</v>
      </c>
      <c r="F510" s="19" t="s">
        <v>22</v>
      </c>
      <c r="G510" s="4" t="str">
        <f t="shared" si="63"/>
        <v>//2021</v>
      </c>
      <c r="H510" s="19" t="s">
        <v>1</v>
      </c>
      <c r="I510" s="19" t="s">
        <v>0</v>
      </c>
      <c r="L510" s="22" t="e">
        <f>+VLOOKUP(K510,'[2]BASE DE PROVEEDORES'!$A:$B,2,0)</f>
        <v>#N/A</v>
      </c>
      <c r="M510" s="25">
        <v>0</v>
      </c>
      <c r="N510" s="5" t="s">
        <v>2</v>
      </c>
      <c r="O510" s="5" t="s">
        <v>2</v>
      </c>
      <c r="P510" s="6"/>
      <c r="Q510" s="5" t="s">
        <v>2</v>
      </c>
      <c r="R510" s="18" t="s">
        <v>2</v>
      </c>
      <c r="S510" s="18" t="s">
        <v>2</v>
      </c>
      <c r="T510" s="12">
        <f t="shared" si="64"/>
        <v>0</v>
      </c>
      <c r="U510" s="13">
        <f t="shared" si="65"/>
        <v>0</v>
      </c>
      <c r="V510" s="19" t="s">
        <v>3</v>
      </c>
    </row>
    <row r="511" spans="1:22" x14ac:dyDescent="0.25">
      <c r="A511" s="5" t="s">
        <v>487</v>
      </c>
      <c r="C511" s="20" t="str">
        <f t="shared" si="61"/>
        <v/>
      </c>
      <c r="D511" s="20" t="str">
        <f t="shared" si="62"/>
        <v/>
      </c>
      <c r="E511" s="19" t="s">
        <v>21</v>
      </c>
      <c r="F511" s="19" t="s">
        <v>22</v>
      </c>
      <c r="G511" s="4" t="str">
        <f t="shared" si="63"/>
        <v>//2021</v>
      </c>
      <c r="H511" s="19" t="s">
        <v>1</v>
      </c>
      <c r="I511" s="19" t="s">
        <v>0</v>
      </c>
      <c r="L511" s="22" t="e">
        <f>+VLOOKUP(K511,'[2]BASE DE PROVEEDORES'!$A:$B,2,0)</f>
        <v>#N/A</v>
      </c>
      <c r="M511" s="25">
        <v>0</v>
      </c>
      <c r="N511" s="5" t="s">
        <v>2</v>
      </c>
      <c r="O511" s="5" t="s">
        <v>2</v>
      </c>
      <c r="P511" s="6"/>
      <c r="Q511" s="5" t="s">
        <v>2</v>
      </c>
      <c r="R511" s="18" t="s">
        <v>2</v>
      </c>
      <c r="S511" s="18" t="s">
        <v>2</v>
      </c>
      <c r="T511" s="12">
        <f t="shared" si="64"/>
        <v>0</v>
      </c>
      <c r="U511" s="13">
        <f t="shared" si="65"/>
        <v>0</v>
      </c>
      <c r="V511" s="19" t="s">
        <v>3</v>
      </c>
    </row>
    <row r="512" spans="1:22" x14ac:dyDescent="0.25">
      <c r="A512" s="5" t="s">
        <v>487</v>
      </c>
      <c r="C512" s="20" t="str">
        <f t="shared" si="61"/>
        <v/>
      </c>
      <c r="D512" s="20" t="str">
        <f t="shared" si="62"/>
        <v/>
      </c>
      <c r="E512" s="19" t="s">
        <v>21</v>
      </c>
      <c r="F512" s="19" t="s">
        <v>22</v>
      </c>
      <c r="G512" s="4" t="str">
        <f t="shared" si="63"/>
        <v>//2021</v>
      </c>
      <c r="H512" s="19" t="s">
        <v>1</v>
      </c>
      <c r="I512" s="19" t="s">
        <v>0</v>
      </c>
      <c r="L512" s="22" t="e">
        <f>+VLOOKUP(K512,'[2]BASE DE PROVEEDORES'!$A:$B,2,0)</f>
        <v>#N/A</v>
      </c>
      <c r="M512" s="25">
        <v>0</v>
      </c>
      <c r="N512" s="5" t="s">
        <v>2</v>
      </c>
      <c r="O512" s="5" t="s">
        <v>2</v>
      </c>
      <c r="P512" s="6"/>
      <c r="Q512" s="5" t="s">
        <v>2</v>
      </c>
      <c r="R512" s="18" t="s">
        <v>2</v>
      </c>
      <c r="S512" s="18" t="s">
        <v>2</v>
      </c>
      <c r="T512" s="12">
        <f t="shared" si="64"/>
        <v>0</v>
      </c>
      <c r="U512" s="13">
        <f t="shared" si="65"/>
        <v>0</v>
      </c>
      <c r="V512" s="19" t="s">
        <v>3</v>
      </c>
    </row>
    <row r="513" spans="1:22" x14ac:dyDescent="0.25">
      <c r="A513" s="5" t="s">
        <v>487</v>
      </c>
      <c r="C513" s="20" t="str">
        <f t="shared" si="61"/>
        <v/>
      </c>
      <c r="D513" s="20" t="str">
        <f t="shared" si="62"/>
        <v/>
      </c>
      <c r="E513" s="19" t="s">
        <v>21</v>
      </c>
      <c r="F513" s="19" t="s">
        <v>22</v>
      </c>
      <c r="G513" s="4" t="str">
        <f t="shared" si="63"/>
        <v>//2021</v>
      </c>
      <c r="H513" s="19" t="s">
        <v>1</v>
      </c>
      <c r="I513" s="19" t="s">
        <v>0</v>
      </c>
      <c r="L513" s="22" t="e">
        <f>+VLOOKUP(K513,'[2]BASE DE PROVEEDORES'!$A:$B,2,0)</f>
        <v>#N/A</v>
      </c>
      <c r="M513" s="25">
        <v>0</v>
      </c>
      <c r="N513" s="5" t="s">
        <v>2</v>
      </c>
      <c r="O513" s="5" t="s">
        <v>2</v>
      </c>
      <c r="P513" s="6"/>
      <c r="Q513" s="5" t="s">
        <v>2</v>
      </c>
      <c r="R513" s="18" t="s">
        <v>2</v>
      </c>
      <c r="S513" s="18" t="s">
        <v>2</v>
      </c>
      <c r="T513" s="12">
        <f t="shared" si="64"/>
        <v>0</v>
      </c>
      <c r="U513" s="13">
        <f t="shared" si="65"/>
        <v>0</v>
      </c>
      <c r="V513" s="19" t="s">
        <v>3</v>
      </c>
    </row>
    <row r="514" spans="1:22" x14ac:dyDescent="0.25">
      <c r="A514" s="5" t="s">
        <v>487</v>
      </c>
      <c r="C514" s="20" t="str">
        <f t="shared" si="61"/>
        <v/>
      </c>
      <c r="D514" s="20" t="str">
        <f t="shared" si="62"/>
        <v/>
      </c>
      <c r="E514" s="19" t="s">
        <v>21</v>
      </c>
      <c r="F514" s="19" t="s">
        <v>22</v>
      </c>
      <c r="G514" s="4" t="str">
        <f t="shared" si="63"/>
        <v>//2021</v>
      </c>
      <c r="H514" s="19" t="s">
        <v>1</v>
      </c>
      <c r="I514" s="19" t="s">
        <v>0</v>
      </c>
      <c r="L514" s="22" t="e">
        <f>+VLOOKUP(K514,'[2]BASE DE PROVEEDORES'!$A:$B,2,0)</f>
        <v>#N/A</v>
      </c>
      <c r="M514" s="25">
        <v>0</v>
      </c>
      <c r="N514" s="5" t="s">
        <v>2</v>
      </c>
      <c r="O514" s="5" t="s">
        <v>2</v>
      </c>
      <c r="P514" s="6"/>
      <c r="Q514" s="5" t="s">
        <v>2</v>
      </c>
      <c r="R514" s="18" t="s">
        <v>2</v>
      </c>
      <c r="S514" s="18" t="s">
        <v>2</v>
      </c>
      <c r="T514" s="12">
        <f t="shared" si="64"/>
        <v>0</v>
      </c>
      <c r="U514" s="13">
        <f t="shared" si="65"/>
        <v>0</v>
      </c>
      <c r="V514" s="19" t="s">
        <v>3</v>
      </c>
    </row>
    <row r="515" spans="1:22" x14ac:dyDescent="0.25">
      <c r="A515" s="5" t="s">
        <v>487</v>
      </c>
      <c r="C515" s="20" t="str">
        <f t="shared" si="61"/>
        <v/>
      </c>
      <c r="D515" s="20" t="str">
        <f t="shared" si="62"/>
        <v/>
      </c>
      <c r="E515" s="19" t="s">
        <v>21</v>
      </c>
      <c r="F515" s="19" t="s">
        <v>22</v>
      </c>
      <c r="G515" s="4" t="str">
        <f t="shared" si="63"/>
        <v>//2021</v>
      </c>
      <c r="H515" s="19" t="s">
        <v>1</v>
      </c>
      <c r="I515" s="19" t="s">
        <v>0</v>
      </c>
      <c r="L515" s="22" t="e">
        <f>+VLOOKUP(K515,'[2]BASE DE PROVEEDORES'!$A:$B,2,0)</f>
        <v>#N/A</v>
      </c>
      <c r="M515" s="25">
        <v>0</v>
      </c>
      <c r="N515" s="5" t="s">
        <v>2</v>
      </c>
      <c r="O515" s="5" t="s">
        <v>2</v>
      </c>
      <c r="P515" s="6"/>
      <c r="Q515" s="5" t="s">
        <v>2</v>
      </c>
      <c r="R515" s="18" t="s">
        <v>2</v>
      </c>
      <c r="S515" s="18" t="s">
        <v>2</v>
      </c>
      <c r="T515" s="12">
        <f t="shared" si="64"/>
        <v>0</v>
      </c>
      <c r="U515" s="13">
        <f t="shared" si="65"/>
        <v>0</v>
      </c>
      <c r="V515" s="19" t="s">
        <v>3</v>
      </c>
    </row>
    <row r="516" spans="1:22" x14ac:dyDescent="0.25">
      <c r="A516" s="5" t="s">
        <v>487</v>
      </c>
      <c r="C516" s="20" t="str">
        <f t="shared" si="61"/>
        <v/>
      </c>
      <c r="D516" s="20" t="str">
        <f t="shared" si="62"/>
        <v/>
      </c>
      <c r="E516" s="19" t="s">
        <v>21</v>
      </c>
      <c r="F516" s="19" t="s">
        <v>22</v>
      </c>
      <c r="G516" s="4" t="str">
        <f t="shared" si="63"/>
        <v>//2021</v>
      </c>
      <c r="H516" s="19" t="s">
        <v>1</v>
      </c>
      <c r="I516" s="19" t="s">
        <v>0</v>
      </c>
      <c r="L516" s="22" t="e">
        <f>+VLOOKUP(K516,'[2]BASE DE PROVEEDORES'!$A:$B,2,0)</f>
        <v>#N/A</v>
      </c>
      <c r="M516" s="25">
        <v>0</v>
      </c>
      <c r="N516" s="5" t="s">
        <v>2</v>
      </c>
      <c r="O516" s="5" t="s">
        <v>2</v>
      </c>
      <c r="P516" s="6"/>
      <c r="Q516" s="5" t="s">
        <v>2</v>
      </c>
      <c r="R516" s="18" t="s">
        <v>2</v>
      </c>
      <c r="S516" s="18" t="s">
        <v>2</v>
      </c>
      <c r="T516" s="12">
        <f t="shared" si="64"/>
        <v>0</v>
      </c>
      <c r="U516" s="13">
        <f t="shared" si="65"/>
        <v>0</v>
      </c>
      <c r="V516" s="19" t="s">
        <v>3</v>
      </c>
    </row>
    <row r="517" spans="1:22" x14ac:dyDescent="0.25">
      <c r="A517" s="5" t="s">
        <v>487</v>
      </c>
      <c r="C517" s="20" t="str">
        <f t="shared" si="61"/>
        <v/>
      </c>
      <c r="D517" s="20" t="str">
        <f t="shared" si="62"/>
        <v/>
      </c>
      <c r="E517" s="19" t="s">
        <v>21</v>
      </c>
      <c r="F517" s="19" t="s">
        <v>22</v>
      </c>
      <c r="G517" s="4" t="str">
        <f t="shared" si="63"/>
        <v>//2021</v>
      </c>
      <c r="H517" s="19" t="s">
        <v>1</v>
      </c>
      <c r="I517" s="19" t="s">
        <v>0</v>
      </c>
      <c r="L517" s="22" t="e">
        <f>+VLOOKUP(K517,'[2]BASE DE PROVEEDORES'!$A:$B,2,0)</f>
        <v>#N/A</v>
      </c>
      <c r="M517" s="25">
        <v>0</v>
      </c>
      <c r="N517" s="5" t="s">
        <v>2</v>
      </c>
      <c r="O517" s="5" t="s">
        <v>2</v>
      </c>
      <c r="P517" s="6"/>
      <c r="Q517" s="5" t="s">
        <v>2</v>
      </c>
      <c r="R517" s="18" t="s">
        <v>2</v>
      </c>
      <c r="S517" s="18" t="s">
        <v>2</v>
      </c>
      <c r="T517" s="12">
        <f t="shared" si="64"/>
        <v>0</v>
      </c>
      <c r="U517" s="13">
        <f t="shared" si="65"/>
        <v>0</v>
      </c>
      <c r="V517" s="19" t="s">
        <v>3</v>
      </c>
    </row>
    <row r="518" spans="1:22" x14ac:dyDescent="0.25">
      <c r="A518" s="5" t="s">
        <v>487</v>
      </c>
      <c r="C518" s="20" t="str">
        <f t="shared" si="61"/>
        <v/>
      </c>
      <c r="D518" s="20" t="str">
        <f t="shared" si="62"/>
        <v/>
      </c>
      <c r="E518" s="19" t="s">
        <v>21</v>
      </c>
      <c r="F518" s="19" t="s">
        <v>22</v>
      </c>
      <c r="G518" s="4" t="str">
        <f t="shared" si="63"/>
        <v>//2021</v>
      </c>
      <c r="H518" s="19" t="s">
        <v>1</v>
      </c>
      <c r="I518" s="19" t="s">
        <v>0</v>
      </c>
      <c r="L518" s="22" t="e">
        <f>+VLOOKUP(K518,'[2]BASE DE PROVEEDORES'!$A:$B,2,0)</f>
        <v>#N/A</v>
      </c>
      <c r="M518" s="25">
        <v>0</v>
      </c>
      <c r="N518" s="5" t="s">
        <v>2</v>
      </c>
      <c r="O518" s="5" t="s">
        <v>2</v>
      </c>
      <c r="P518" s="6"/>
      <c r="Q518" s="5" t="s">
        <v>2</v>
      </c>
      <c r="R518" s="18" t="s">
        <v>2</v>
      </c>
      <c r="S518" s="18" t="s">
        <v>2</v>
      </c>
      <c r="T518" s="12">
        <f t="shared" si="64"/>
        <v>0</v>
      </c>
      <c r="U518" s="13">
        <f t="shared" si="65"/>
        <v>0</v>
      </c>
      <c r="V518" s="19" t="s">
        <v>3</v>
      </c>
    </row>
    <row r="519" spans="1:22" x14ac:dyDescent="0.25">
      <c r="A519" s="5" t="s">
        <v>487</v>
      </c>
      <c r="C519" s="20" t="str">
        <f t="shared" si="61"/>
        <v/>
      </c>
      <c r="D519" s="20" t="str">
        <f t="shared" si="62"/>
        <v/>
      </c>
      <c r="E519" s="19" t="s">
        <v>21</v>
      </c>
      <c r="F519" s="19" t="s">
        <v>22</v>
      </c>
      <c r="G519" s="4" t="str">
        <f t="shared" si="63"/>
        <v>//2021</v>
      </c>
      <c r="H519" s="19" t="s">
        <v>1</v>
      </c>
      <c r="I519" s="19" t="s">
        <v>0</v>
      </c>
      <c r="L519" s="22" t="e">
        <f>+VLOOKUP(K519,'[2]BASE DE PROVEEDORES'!$A:$B,2,0)</f>
        <v>#N/A</v>
      </c>
      <c r="M519" s="25">
        <v>0</v>
      </c>
      <c r="N519" s="5" t="s">
        <v>2</v>
      </c>
      <c r="O519" s="5" t="s">
        <v>2</v>
      </c>
      <c r="P519" s="6"/>
      <c r="Q519" s="5" t="s">
        <v>2</v>
      </c>
      <c r="R519" s="18" t="s">
        <v>2</v>
      </c>
      <c r="S519" s="18" t="s">
        <v>2</v>
      </c>
      <c r="T519" s="12">
        <f t="shared" si="64"/>
        <v>0</v>
      </c>
      <c r="U519" s="13">
        <f t="shared" si="65"/>
        <v>0</v>
      </c>
      <c r="V519" s="19" t="s">
        <v>3</v>
      </c>
    </row>
    <row r="520" spans="1:22" x14ac:dyDescent="0.25">
      <c r="A520" s="5" t="s">
        <v>487</v>
      </c>
      <c r="C520" s="20" t="str">
        <f t="shared" si="61"/>
        <v/>
      </c>
      <c r="D520" s="20" t="str">
        <f t="shared" si="62"/>
        <v/>
      </c>
      <c r="E520" s="19" t="s">
        <v>21</v>
      </c>
      <c r="F520" s="19" t="s">
        <v>22</v>
      </c>
      <c r="G520" s="4" t="str">
        <f t="shared" si="63"/>
        <v>//2021</v>
      </c>
      <c r="H520" s="19" t="s">
        <v>1</v>
      </c>
      <c r="I520" s="19" t="s">
        <v>0</v>
      </c>
      <c r="L520" s="22" t="e">
        <f>+VLOOKUP(K520,'[2]BASE DE PROVEEDORES'!$A:$B,2,0)</f>
        <v>#N/A</v>
      </c>
      <c r="M520" s="25">
        <v>0</v>
      </c>
      <c r="N520" s="5" t="s">
        <v>2</v>
      </c>
      <c r="O520" s="5" t="s">
        <v>2</v>
      </c>
      <c r="P520" s="6"/>
      <c r="Q520" s="5" t="s">
        <v>2</v>
      </c>
      <c r="R520" s="18" t="s">
        <v>2</v>
      </c>
      <c r="S520" s="18" t="s">
        <v>2</v>
      </c>
      <c r="T520" s="12">
        <f t="shared" si="64"/>
        <v>0</v>
      </c>
      <c r="U520" s="13">
        <f t="shared" si="65"/>
        <v>0</v>
      </c>
      <c r="V520" s="19" t="s">
        <v>3</v>
      </c>
    </row>
    <row r="521" spans="1:22" x14ac:dyDescent="0.25">
      <c r="A521" s="5" t="s">
        <v>487</v>
      </c>
      <c r="C521" s="20" t="str">
        <f t="shared" si="61"/>
        <v/>
      </c>
      <c r="D521" s="20" t="str">
        <f t="shared" si="62"/>
        <v/>
      </c>
      <c r="E521" s="19" t="s">
        <v>21</v>
      </c>
      <c r="F521" s="19" t="s">
        <v>22</v>
      </c>
      <c r="G521" s="4" t="str">
        <f t="shared" si="63"/>
        <v>//2021</v>
      </c>
      <c r="H521" s="19" t="s">
        <v>1</v>
      </c>
      <c r="I521" s="19" t="s">
        <v>0</v>
      </c>
      <c r="L521" s="22" t="e">
        <f>+VLOOKUP(K521,'[2]BASE DE PROVEEDORES'!$A:$B,2,0)</f>
        <v>#N/A</v>
      </c>
      <c r="M521" s="25">
        <v>0</v>
      </c>
      <c r="N521" s="5" t="s">
        <v>2</v>
      </c>
      <c r="O521" s="5" t="s">
        <v>2</v>
      </c>
      <c r="P521" s="6"/>
      <c r="Q521" s="5" t="s">
        <v>2</v>
      </c>
      <c r="R521" s="18" t="s">
        <v>2</v>
      </c>
      <c r="S521" s="18" t="s">
        <v>2</v>
      </c>
      <c r="T521" s="12">
        <f t="shared" si="64"/>
        <v>0</v>
      </c>
      <c r="U521" s="13">
        <f t="shared" si="65"/>
        <v>0</v>
      </c>
      <c r="V521" s="19" t="s">
        <v>3</v>
      </c>
    </row>
    <row r="522" spans="1:22" x14ac:dyDescent="0.25">
      <c r="A522" s="5" t="s">
        <v>487</v>
      </c>
      <c r="C522" s="20" t="str">
        <f t="shared" si="61"/>
        <v/>
      </c>
      <c r="D522" s="20" t="str">
        <f t="shared" si="62"/>
        <v/>
      </c>
      <c r="E522" s="19" t="s">
        <v>21</v>
      </c>
      <c r="F522" s="19" t="s">
        <v>22</v>
      </c>
      <c r="G522" s="4" t="str">
        <f t="shared" si="63"/>
        <v>//2021</v>
      </c>
      <c r="H522" s="19" t="s">
        <v>1</v>
      </c>
      <c r="I522" s="19" t="s">
        <v>0</v>
      </c>
      <c r="L522" s="22" t="e">
        <f>+VLOOKUP(K522,'[2]BASE DE PROVEEDORES'!$A:$B,2,0)</f>
        <v>#N/A</v>
      </c>
      <c r="M522" s="25">
        <v>0</v>
      </c>
      <c r="N522" s="5" t="s">
        <v>2</v>
      </c>
      <c r="O522" s="5" t="s">
        <v>2</v>
      </c>
      <c r="P522" s="6"/>
      <c r="Q522" s="5" t="s">
        <v>2</v>
      </c>
      <c r="R522" s="18" t="s">
        <v>2</v>
      </c>
      <c r="S522" s="18" t="s">
        <v>2</v>
      </c>
      <c r="T522" s="12">
        <f t="shared" si="64"/>
        <v>0</v>
      </c>
      <c r="U522" s="13">
        <f t="shared" si="65"/>
        <v>0</v>
      </c>
      <c r="V522" s="19" t="s">
        <v>3</v>
      </c>
    </row>
    <row r="523" spans="1:22" x14ac:dyDescent="0.25">
      <c r="A523" s="5" t="s">
        <v>487</v>
      </c>
      <c r="C523" s="20" t="str">
        <f t="shared" si="61"/>
        <v/>
      </c>
      <c r="D523" s="20" t="str">
        <f t="shared" si="62"/>
        <v/>
      </c>
      <c r="E523" s="19" t="s">
        <v>21</v>
      </c>
      <c r="F523" s="19" t="s">
        <v>22</v>
      </c>
      <c r="G523" s="4" t="str">
        <f t="shared" si="63"/>
        <v>//2021</v>
      </c>
      <c r="H523" s="19" t="s">
        <v>1</v>
      </c>
      <c r="I523" s="19" t="s">
        <v>0</v>
      </c>
      <c r="L523" s="22" t="e">
        <f>+VLOOKUP(K523,'[2]BASE DE PROVEEDORES'!$A:$B,2,0)</f>
        <v>#N/A</v>
      </c>
      <c r="M523" s="25">
        <v>0</v>
      </c>
      <c r="N523" s="5" t="s">
        <v>2</v>
      </c>
      <c r="O523" s="5" t="s">
        <v>2</v>
      </c>
      <c r="P523" s="6"/>
      <c r="Q523" s="5" t="s">
        <v>2</v>
      </c>
      <c r="R523" s="18" t="s">
        <v>2</v>
      </c>
      <c r="S523" s="18" t="s">
        <v>2</v>
      </c>
      <c r="T523" s="12">
        <f t="shared" si="64"/>
        <v>0</v>
      </c>
      <c r="U523" s="13">
        <f t="shared" si="65"/>
        <v>0</v>
      </c>
      <c r="V523" s="19" t="s">
        <v>3</v>
      </c>
    </row>
    <row r="524" spans="1:22" x14ac:dyDescent="0.25">
      <c r="A524" s="5" t="s">
        <v>487</v>
      </c>
      <c r="C524" s="20" t="str">
        <f t="shared" si="61"/>
        <v/>
      </c>
      <c r="D524" s="20" t="str">
        <f t="shared" si="62"/>
        <v/>
      </c>
      <c r="E524" s="19" t="s">
        <v>21</v>
      </c>
      <c r="F524" s="19" t="s">
        <v>22</v>
      </c>
      <c r="G524" s="4" t="str">
        <f t="shared" si="63"/>
        <v>//2021</v>
      </c>
      <c r="H524" s="19" t="s">
        <v>1</v>
      </c>
      <c r="I524" s="19" t="s">
        <v>0</v>
      </c>
      <c r="L524" s="22" t="e">
        <f>+VLOOKUP(K524,'[2]BASE DE PROVEEDORES'!$A:$B,2,0)</f>
        <v>#N/A</v>
      </c>
      <c r="M524" s="25">
        <v>0</v>
      </c>
      <c r="N524" s="5" t="s">
        <v>2</v>
      </c>
      <c r="O524" s="5" t="s">
        <v>2</v>
      </c>
      <c r="P524" s="6"/>
      <c r="Q524" s="5" t="s">
        <v>2</v>
      </c>
      <c r="R524" s="18" t="s">
        <v>2</v>
      </c>
      <c r="S524" s="18" t="s">
        <v>2</v>
      </c>
      <c r="T524" s="12">
        <f t="shared" si="64"/>
        <v>0</v>
      </c>
      <c r="U524" s="13">
        <f t="shared" si="65"/>
        <v>0</v>
      </c>
      <c r="V524" s="19" t="s">
        <v>3</v>
      </c>
    </row>
    <row r="525" spans="1:22" x14ac:dyDescent="0.25">
      <c r="A525" s="5" t="s">
        <v>487</v>
      </c>
      <c r="C525" s="20" t="str">
        <f t="shared" si="61"/>
        <v/>
      </c>
      <c r="D525" s="20" t="str">
        <f t="shared" si="62"/>
        <v/>
      </c>
      <c r="E525" s="19" t="s">
        <v>21</v>
      </c>
      <c r="F525" s="19" t="s">
        <v>22</v>
      </c>
      <c r="G525" s="4" t="str">
        <f t="shared" si="63"/>
        <v>//2021</v>
      </c>
      <c r="H525" s="19" t="s">
        <v>1</v>
      </c>
      <c r="I525" s="19" t="s">
        <v>0</v>
      </c>
      <c r="L525" s="22" t="e">
        <f>+VLOOKUP(K525,'[2]BASE DE PROVEEDORES'!$A:$B,2,0)</f>
        <v>#N/A</v>
      </c>
      <c r="M525" s="25">
        <v>0</v>
      </c>
      <c r="N525" s="5" t="s">
        <v>2</v>
      </c>
      <c r="O525" s="5" t="s">
        <v>2</v>
      </c>
      <c r="P525" s="6"/>
      <c r="Q525" s="5" t="s">
        <v>2</v>
      </c>
      <c r="R525" s="18" t="s">
        <v>2</v>
      </c>
      <c r="S525" s="18" t="s">
        <v>2</v>
      </c>
      <c r="T525" s="12">
        <f t="shared" si="64"/>
        <v>0</v>
      </c>
      <c r="U525" s="13">
        <f t="shared" si="65"/>
        <v>0</v>
      </c>
      <c r="V525" s="19" t="s">
        <v>3</v>
      </c>
    </row>
    <row r="526" spans="1:22" x14ac:dyDescent="0.25">
      <c r="A526" s="5" t="s">
        <v>487</v>
      </c>
      <c r="C526" s="20" t="str">
        <f t="shared" si="61"/>
        <v/>
      </c>
      <c r="D526" s="20" t="str">
        <f t="shared" si="62"/>
        <v/>
      </c>
      <c r="E526" s="19" t="s">
        <v>21</v>
      </c>
      <c r="F526" s="19" t="s">
        <v>22</v>
      </c>
      <c r="G526" s="4" t="str">
        <f t="shared" si="63"/>
        <v>//2021</v>
      </c>
      <c r="H526" s="19" t="s">
        <v>1</v>
      </c>
      <c r="I526" s="19" t="s">
        <v>0</v>
      </c>
      <c r="L526" s="22" t="e">
        <f>+VLOOKUP(K526,'[2]BASE DE PROVEEDORES'!$A:$B,2,0)</f>
        <v>#N/A</v>
      </c>
      <c r="M526" s="25">
        <v>0</v>
      </c>
      <c r="N526" s="5" t="s">
        <v>2</v>
      </c>
      <c r="O526" s="5" t="s">
        <v>2</v>
      </c>
      <c r="P526" s="6"/>
      <c r="Q526" s="5" t="s">
        <v>2</v>
      </c>
      <c r="R526" s="18" t="s">
        <v>2</v>
      </c>
      <c r="S526" s="18" t="s">
        <v>2</v>
      </c>
      <c r="T526" s="12">
        <f t="shared" si="64"/>
        <v>0</v>
      </c>
      <c r="U526" s="13">
        <f t="shared" si="65"/>
        <v>0</v>
      </c>
      <c r="V526" s="19" t="s">
        <v>3</v>
      </c>
    </row>
    <row r="527" spans="1:22" x14ac:dyDescent="0.25">
      <c r="A527" s="5" t="s">
        <v>487</v>
      </c>
      <c r="C527" s="20" t="str">
        <f t="shared" si="61"/>
        <v/>
      </c>
      <c r="D527" s="20" t="str">
        <f t="shared" si="62"/>
        <v/>
      </c>
      <c r="E527" s="19" t="s">
        <v>21</v>
      </c>
      <c r="F527" s="19" t="s">
        <v>22</v>
      </c>
      <c r="G527" s="4" t="str">
        <f t="shared" si="63"/>
        <v>//2021</v>
      </c>
      <c r="H527" s="19" t="s">
        <v>1</v>
      </c>
      <c r="I527" s="19" t="s">
        <v>0</v>
      </c>
      <c r="L527" s="22" t="e">
        <f>+VLOOKUP(K527,'[2]BASE DE PROVEEDORES'!$A:$B,2,0)</f>
        <v>#N/A</v>
      </c>
      <c r="M527" s="25">
        <v>0</v>
      </c>
      <c r="N527" s="5" t="s">
        <v>2</v>
      </c>
      <c r="O527" s="5" t="s">
        <v>2</v>
      </c>
      <c r="P527" s="6"/>
      <c r="Q527" s="5" t="s">
        <v>2</v>
      </c>
      <c r="R527" s="18" t="s">
        <v>2</v>
      </c>
      <c r="S527" s="18" t="s">
        <v>2</v>
      </c>
      <c r="T527" s="12">
        <f t="shared" si="64"/>
        <v>0</v>
      </c>
      <c r="U527" s="13">
        <f t="shared" si="65"/>
        <v>0</v>
      </c>
      <c r="V527" s="19" t="s">
        <v>3</v>
      </c>
    </row>
    <row r="528" spans="1:22" x14ac:dyDescent="0.25">
      <c r="A528" s="5" t="s">
        <v>487</v>
      </c>
      <c r="C528" s="20" t="str">
        <f t="shared" si="61"/>
        <v/>
      </c>
      <c r="D528" s="20" t="str">
        <f t="shared" si="62"/>
        <v/>
      </c>
      <c r="E528" s="19" t="s">
        <v>21</v>
      </c>
      <c r="F528" s="19" t="s">
        <v>22</v>
      </c>
      <c r="G528" s="4" t="str">
        <f t="shared" si="63"/>
        <v>//2021</v>
      </c>
      <c r="H528" s="19" t="s">
        <v>1</v>
      </c>
      <c r="I528" s="19" t="s">
        <v>0</v>
      </c>
      <c r="L528" s="22" t="e">
        <f>+VLOOKUP(K528,'[2]BASE DE PROVEEDORES'!$A:$B,2,0)</f>
        <v>#N/A</v>
      </c>
      <c r="M528" s="25">
        <v>0</v>
      </c>
      <c r="N528" s="5" t="s">
        <v>2</v>
      </c>
      <c r="O528" s="5" t="s">
        <v>2</v>
      </c>
      <c r="P528" s="6"/>
      <c r="Q528" s="5" t="s">
        <v>2</v>
      </c>
      <c r="R528" s="18" t="s">
        <v>2</v>
      </c>
      <c r="S528" s="18" t="s">
        <v>2</v>
      </c>
      <c r="T528" s="12">
        <f t="shared" si="64"/>
        <v>0</v>
      </c>
      <c r="U528" s="13">
        <f t="shared" si="65"/>
        <v>0</v>
      </c>
      <c r="V528" s="19" t="s">
        <v>3</v>
      </c>
    </row>
    <row r="529" spans="1:22" x14ac:dyDescent="0.25">
      <c r="A529" s="5" t="s">
        <v>487</v>
      </c>
      <c r="C529" s="20" t="str">
        <f t="shared" si="61"/>
        <v/>
      </c>
      <c r="D529" s="20" t="str">
        <f t="shared" si="62"/>
        <v/>
      </c>
      <c r="E529" s="19" t="s">
        <v>21</v>
      </c>
      <c r="F529" s="19" t="s">
        <v>22</v>
      </c>
      <c r="G529" s="4" t="str">
        <f t="shared" si="63"/>
        <v>//2021</v>
      </c>
      <c r="H529" s="19" t="s">
        <v>1</v>
      </c>
      <c r="I529" s="19" t="s">
        <v>0</v>
      </c>
      <c r="L529" s="22" t="e">
        <f>+VLOOKUP(K529,'[2]BASE DE PROVEEDORES'!$A:$B,2,0)</f>
        <v>#N/A</v>
      </c>
      <c r="M529" s="25">
        <v>0</v>
      </c>
      <c r="N529" s="5" t="s">
        <v>2</v>
      </c>
      <c r="O529" s="5" t="s">
        <v>2</v>
      </c>
      <c r="P529" s="6"/>
      <c r="Q529" s="5" t="s">
        <v>2</v>
      </c>
      <c r="R529" s="18" t="s">
        <v>2</v>
      </c>
      <c r="S529" s="18" t="s">
        <v>2</v>
      </c>
      <c r="T529" s="12">
        <f t="shared" si="64"/>
        <v>0</v>
      </c>
      <c r="U529" s="13">
        <f t="shared" si="65"/>
        <v>0</v>
      </c>
      <c r="V529" s="19" t="s">
        <v>3</v>
      </c>
    </row>
    <row r="530" spans="1:22" x14ac:dyDescent="0.25">
      <c r="A530" s="5" t="s">
        <v>487</v>
      </c>
      <c r="C530" s="20" t="str">
        <f t="shared" si="61"/>
        <v/>
      </c>
      <c r="D530" s="20" t="str">
        <f t="shared" si="62"/>
        <v/>
      </c>
      <c r="E530" s="19" t="s">
        <v>21</v>
      </c>
      <c r="F530" s="19" t="s">
        <v>22</v>
      </c>
      <c r="G530" s="4" t="str">
        <f t="shared" si="63"/>
        <v>//2021</v>
      </c>
      <c r="H530" s="19" t="s">
        <v>1</v>
      </c>
      <c r="I530" s="19" t="s">
        <v>0</v>
      </c>
      <c r="L530" s="22" t="e">
        <f>+VLOOKUP(K530,'[2]BASE DE PROVEEDORES'!$A:$B,2,0)</f>
        <v>#N/A</v>
      </c>
      <c r="M530" s="25">
        <v>0</v>
      </c>
      <c r="N530" s="5" t="s">
        <v>2</v>
      </c>
      <c r="O530" s="5" t="s">
        <v>2</v>
      </c>
      <c r="P530" s="6"/>
      <c r="Q530" s="5" t="s">
        <v>2</v>
      </c>
      <c r="R530" s="18" t="s">
        <v>2</v>
      </c>
      <c r="S530" s="18" t="s">
        <v>2</v>
      </c>
      <c r="T530" s="12">
        <f t="shared" si="64"/>
        <v>0</v>
      </c>
      <c r="U530" s="13">
        <f t="shared" si="65"/>
        <v>0</v>
      </c>
      <c r="V530" s="19" t="s">
        <v>3</v>
      </c>
    </row>
    <row r="531" spans="1:22" x14ac:dyDescent="0.25">
      <c r="A531" s="5" t="s">
        <v>487</v>
      </c>
      <c r="C531" s="20" t="str">
        <f t="shared" si="61"/>
        <v/>
      </c>
      <c r="D531" s="20" t="str">
        <f t="shared" si="62"/>
        <v/>
      </c>
      <c r="E531" s="19" t="s">
        <v>21</v>
      </c>
      <c r="F531" s="19" t="s">
        <v>22</v>
      </c>
      <c r="G531" s="4" t="str">
        <f t="shared" si="63"/>
        <v>//2021</v>
      </c>
      <c r="H531" s="19" t="s">
        <v>1</v>
      </c>
      <c r="I531" s="19" t="s">
        <v>0</v>
      </c>
      <c r="L531" s="22" t="e">
        <f>+VLOOKUP(K531,'[2]BASE DE PROVEEDORES'!$A:$B,2,0)</f>
        <v>#N/A</v>
      </c>
      <c r="M531" s="25">
        <v>0</v>
      </c>
      <c r="N531" s="5" t="s">
        <v>2</v>
      </c>
      <c r="O531" s="5" t="s">
        <v>2</v>
      </c>
      <c r="P531" s="6"/>
      <c r="Q531" s="5" t="s">
        <v>2</v>
      </c>
      <c r="R531" s="18" t="s">
        <v>2</v>
      </c>
      <c r="S531" s="18" t="s">
        <v>2</v>
      </c>
      <c r="T531" s="12">
        <f t="shared" si="64"/>
        <v>0</v>
      </c>
      <c r="U531" s="13">
        <f t="shared" si="65"/>
        <v>0</v>
      </c>
      <c r="V531" s="19" t="s">
        <v>3</v>
      </c>
    </row>
    <row r="532" spans="1:22" x14ac:dyDescent="0.25">
      <c r="A532" s="5" t="s">
        <v>487</v>
      </c>
      <c r="C532" s="20" t="str">
        <f t="shared" si="61"/>
        <v/>
      </c>
      <c r="D532" s="20" t="str">
        <f t="shared" si="62"/>
        <v/>
      </c>
      <c r="E532" s="19" t="s">
        <v>21</v>
      </c>
      <c r="F532" s="19" t="s">
        <v>22</v>
      </c>
      <c r="G532" s="4" t="str">
        <f t="shared" si="63"/>
        <v>//2021</v>
      </c>
      <c r="H532" s="19" t="s">
        <v>1</v>
      </c>
      <c r="I532" s="19" t="s">
        <v>0</v>
      </c>
      <c r="L532" s="22" t="e">
        <f>+VLOOKUP(K532,'[2]BASE DE PROVEEDORES'!$A:$B,2,0)</f>
        <v>#N/A</v>
      </c>
      <c r="M532" s="25">
        <v>0</v>
      </c>
      <c r="N532" s="5" t="s">
        <v>2</v>
      </c>
      <c r="O532" s="5" t="s">
        <v>2</v>
      </c>
      <c r="P532" s="6"/>
      <c r="Q532" s="5" t="s">
        <v>2</v>
      </c>
      <c r="R532" s="18" t="s">
        <v>2</v>
      </c>
      <c r="S532" s="18" t="s">
        <v>2</v>
      </c>
      <c r="T532" s="12">
        <f t="shared" si="64"/>
        <v>0</v>
      </c>
      <c r="U532" s="13">
        <f t="shared" si="65"/>
        <v>0</v>
      </c>
      <c r="V532" s="19" t="s">
        <v>3</v>
      </c>
    </row>
    <row r="533" spans="1:22" x14ac:dyDescent="0.25">
      <c r="A533" s="5" t="s">
        <v>487</v>
      </c>
      <c r="C533" s="20" t="str">
        <f t="shared" si="61"/>
        <v/>
      </c>
      <c r="D533" s="20" t="str">
        <f t="shared" si="62"/>
        <v/>
      </c>
      <c r="E533" s="19" t="s">
        <v>21</v>
      </c>
      <c r="F533" s="19" t="s">
        <v>22</v>
      </c>
      <c r="G533" s="4" t="str">
        <f t="shared" si="63"/>
        <v>//2021</v>
      </c>
      <c r="H533" s="19" t="s">
        <v>1</v>
      </c>
      <c r="I533" s="19" t="s">
        <v>0</v>
      </c>
      <c r="L533" s="22" t="e">
        <f>+VLOOKUP(K533,'[2]BASE DE PROVEEDORES'!$A:$B,2,0)</f>
        <v>#N/A</v>
      </c>
      <c r="M533" s="25">
        <v>0</v>
      </c>
      <c r="N533" s="5" t="s">
        <v>2</v>
      </c>
      <c r="O533" s="5" t="s">
        <v>2</v>
      </c>
      <c r="P533" s="6"/>
      <c r="Q533" s="5" t="s">
        <v>2</v>
      </c>
      <c r="R533" s="18" t="s">
        <v>2</v>
      </c>
      <c r="S533" s="18" t="s">
        <v>2</v>
      </c>
      <c r="T533" s="12">
        <f t="shared" si="64"/>
        <v>0</v>
      </c>
      <c r="U533" s="13">
        <f t="shared" si="65"/>
        <v>0</v>
      </c>
      <c r="V533" s="19" t="s">
        <v>3</v>
      </c>
    </row>
    <row r="534" spans="1:22" x14ac:dyDescent="0.25">
      <c r="A534" s="5" t="s">
        <v>487</v>
      </c>
      <c r="C534" s="20" t="str">
        <f t="shared" si="61"/>
        <v/>
      </c>
      <c r="D534" s="20" t="str">
        <f t="shared" si="62"/>
        <v/>
      </c>
      <c r="E534" s="19" t="s">
        <v>21</v>
      </c>
      <c r="F534" s="19" t="s">
        <v>22</v>
      </c>
      <c r="G534" s="4" t="str">
        <f t="shared" si="63"/>
        <v>//2021</v>
      </c>
      <c r="H534" s="19" t="s">
        <v>1</v>
      </c>
      <c r="I534" s="19" t="s">
        <v>0</v>
      </c>
      <c r="L534" s="22" t="e">
        <f>+VLOOKUP(K534,'[2]BASE DE PROVEEDORES'!$A:$B,2,0)</f>
        <v>#N/A</v>
      </c>
      <c r="M534" s="25">
        <v>0</v>
      </c>
      <c r="N534" s="5" t="s">
        <v>2</v>
      </c>
      <c r="O534" s="5" t="s">
        <v>2</v>
      </c>
      <c r="P534" s="6"/>
      <c r="Q534" s="5" t="s">
        <v>2</v>
      </c>
      <c r="R534" s="18" t="s">
        <v>2</v>
      </c>
      <c r="S534" s="18" t="s">
        <v>2</v>
      </c>
      <c r="T534" s="12">
        <f t="shared" si="64"/>
        <v>0</v>
      </c>
      <c r="U534" s="13">
        <f t="shared" si="65"/>
        <v>0</v>
      </c>
      <c r="V534" s="19" t="s">
        <v>3</v>
      </c>
    </row>
    <row r="535" spans="1:22" x14ac:dyDescent="0.25">
      <c r="A535" s="5" t="s">
        <v>487</v>
      </c>
      <c r="C535" s="20" t="str">
        <f t="shared" si="61"/>
        <v/>
      </c>
      <c r="D535" s="20" t="str">
        <f t="shared" si="62"/>
        <v/>
      </c>
      <c r="E535" s="19" t="s">
        <v>21</v>
      </c>
      <c r="F535" s="19" t="s">
        <v>22</v>
      </c>
      <c r="G535" s="4" t="str">
        <f t="shared" si="63"/>
        <v>//2021</v>
      </c>
      <c r="H535" s="19" t="s">
        <v>1</v>
      </c>
      <c r="I535" s="19" t="s">
        <v>0</v>
      </c>
      <c r="L535" s="22" t="e">
        <f>+VLOOKUP(K535,'[2]BASE DE PROVEEDORES'!$A:$B,2,0)</f>
        <v>#N/A</v>
      </c>
      <c r="M535" s="25">
        <v>0</v>
      </c>
      <c r="N535" s="5" t="s">
        <v>2</v>
      </c>
      <c r="O535" s="5" t="s">
        <v>2</v>
      </c>
      <c r="P535" s="6"/>
      <c r="Q535" s="5" t="s">
        <v>2</v>
      </c>
      <c r="R535" s="18" t="s">
        <v>2</v>
      </c>
      <c r="S535" s="18" t="s">
        <v>2</v>
      </c>
      <c r="T535" s="12">
        <f t="shared" si="64"/>
        <v>0</v>
      </c>
      <c r="U535" s="13">
        <f t="shared" si="65"/>
        <v>0</v>
      </c>
      <c r="V535" s="19" t="s">
        <v>3</v>
      </c>
    </row>
    <row r="536" spans="1:22" x14ac:dyDescent="0.25">
      <c r="A536" s="5" t="s">
        <v>487</v>
      </c>
      <c r="C536" s="20" t="str">
        <f t="shared" si="61"/>
        <v/>
      </c>
      <c r="D536" s="20" t="str">
        <f t="shared" si="62"/>
        <v/>
      </c>
      <c r="E536" s="19" t="s">
        <v>21</v>
      </c>
      <c r="F536" s="19" t="s">
        <v>22</v>
      </c>
      <c r="G536" s="4" t="str">
        <f t="shared" si="63"/>
        <v>//2021</v>
      </c>
      <c r="H536" s="19" t="s">
        <v>1</v>
      </c>
      <c r="I536" s="19" t="s">
        <v>0</v>
      </c>
      <c r="L536" s="22" t="e">
        <f>+VLOOKUP(K536,'[2]BASE DE PROVEEDORES'!$A:$B,2,0)</f>
        <v>#N/A</v>
      </c>
      <c r="M536" s="25">
        <v>0</v>
      </c>
      <c r="N536" s="5" t="s">
        <v>2</v>
      </c>
      <c r="O536" s="5" t="s">
        <v>2</v>
      </c>
      <c r="P536" s="6"/>
      <c r="Q536" s="5" t="s">
        <v>2</v>
      </c>
      <c r="R536" s="18" t="s">
        <v>2</v>
      </c>
      <c r="S536" s="18" t="s">
        <v>2</v>
      </c>
      <c r="T536" s="12">
        <f t="shared" si="64"/>
        <v>0</v>
      </c>
      <c r="U536" s="13">
        <f t="shared" si="65"/>
        <v>0</v>
      </c>
      <c r="V536" s="19" t="s">
        <v>3</v>
      </c>
    </row>
    <row r="537" spans="1:22" x14ac:dyDescent="0.25">
      <c r="A537" s="5" t="s">
        <v>487</v>
      </c>
      <c r="C537" s="20" t="str">
        <f t="shared" si="61"/>
        <v/>
      </c>
      <c r="D537" s="20" t="str">
        <f t="shared" si="62"/>
        <v/>
      </c>
      <c r="E537" s="19" t="s">
        <v>21</v>
      </c>
      <c r="F537" s="19" t="s">
        <v>22</v>
      </c>
      <c r="G537" s="4" t="str">
        <f t="shared" si="63"/>
        <v>//2021</v>
      </c>
      <c r="H537" s="19" t="s">
        <v>1</v>
      </c>
      <c r="I537" s="19" t="s">
        <v>0</v>
      </c>
      <c r="L537" s="22" t="e">
        <f>+VLOOKUP(K537,'[2]BASE DE PROVEEDORES'!$A:$B,2,0)</f>
        <v>#N/A</v>
      </c>
      <c r="M537" s="25">
        <v>0</v>
      </c>
      <c r="N537" s="5" t="s">
        <v>2</v>
      </c>
      <c r="O537" s="5" t="s">
        <v>2</v>
      </c>
      <c r="P537" s="6"/>
      <c r="Q537" s="5" t="s">
        <v>2</v>
      </c>
      <c r="R537" s="18" t="s">
        <v>2</v>
      </c>
      <c r="S537" s="18" t="s">
        <v>2</v>
      </c>
      <c r="T537" s="12">
        <f t="shared" si="64"/>
        <v>0</v>
      </c>
      <c r="U537" s="13">
        <f t="shared" si="65"/>
        <v>0</v>
      </c>
      <c r="V537" s="19" t="s">
        <v>3</v>
      </c>
    </row>
    <row r="538" spans="1:22" x14ac:dyDescent="0.25">
      <c r="A538" s="5" t="s">
        <v>487</v>
      </c>
      <c r="C538" s="20" t="str">
        <f t="shared" si="61"/>
        <v/>
      </c>
      <c r="D538" s="20" t="str">
        <f t="shared" si="62"/>
        <v/>
      </c>
      <c r="E538" s="19" t="s">
        <v>21</v>
      </c>
      <c r="F538" s="19" t="s">
        <v>22</v>
      </c>
      <c r="G538" s="4" t="str">
        <f t="shared" si="63"/>
        <v>//2021</v>
      </c>
      <c r="H538" s="19" t="s">
        <v>1</v>
      </c>
      <c r="I538" s="19" t="s">
        <v>0</v>
      </c>
      <c r="L538" s="22" t="e">
        <f>+VLOOKUP(K538,'[2]BASE DE PROVEEDORES'!$A:$B,2,0)</f>
        <v>#N/A</v>
      </c>
      <c r="M538" s="25">
        <v>0</v>
      </c>
      <c r="N538" s="5" t="s">
        <v>2</v>
      </c>
      <c r="O538" s="5" t="s">
        <v>2</v>
      </c>
      <c r="P538" s="6"/>
      <c r="Q538" s="5" t="s">
        <v>2</v>
      </c>
      <c r="R538" s="18" t="s">
        <v>2</v>
      </c>
      <c r="S538" s="18" t="s">
        <v>2</v>
      </c>
      <c r="T538" s="12">
        <f t="shared" si="64"/>
        <v>0</v>
      </c>
      <c r="U538" s="13">
        <f t="shared" si="65"/>
        <v>0</v>
      </c>
      <c r="V538" s="19" t="s">
        <v>3</v>
      </c>
    </row>
    <row r="539" spans="1:22" x14ac:dyDescent="0.25">
      <c r="A539" s="5" t="s">
        <v>487</v>
      </c>
      <c r="C539" s="20" t="str">
        <f t="shared" si="61"/>
        <v/>
      </c>
      <c r="D539" s="20" t="str">
        <f t="shared" si="62"/>
        <v/>
      </c>
      <c r="E539" s="19" t="s">
        <v>21</v>
      </c>
      <c r="F539" s="19" t="s">
        <v>22</v>
      </c>
      <c r="G539" s="4" t="str">
        <f t="shared" si="63"/>
        <v>//2021</v>
      </c>
      <c r="H539" s="19" t="s">
        <v>1</v>
      </c>
      <c r="I539" s="19" t="s">
        <v>0</v>
      </c>
      <c r="L539" s="22" t="e">
        <f>+VLOOKUP(K539,'[2]BASE DE PROVEEDORES'!$A:$B,2,0)</f>
        <v>#N/A</v>
      </c>
      <c r="M539" s="25">
        <v>0</v>
      </c>
      <c r="N539" s="5" t="s">
        <v>2</v>
      </c>
      <c r="O539" s="5" t="s">
        <v>2</v>
      </c>
      <c r="P539" s="6"/>
      <c r="Q539" s="5" t="s">
        <v>2</v>
      </c>
      <c r="R539" s="18" t="s">
        <v>2</v>
      </c>
      <c r="S539" s="18" t="s">
        <v>2</v>
      </c>
      <c r="T539" s="12">
        <f t="shared" si="64"/>
        <v>0</v>
      </c>
      <c r="U539" s="13">
        <f t="shared" si="65"/>
        <v>0</v>
      </c>
      <c r="V539" s="19" t="s">
        <v>3</v>
      </c>
    </row>
    <row r="540" spans="1:22" x14ac:dyDescent="0.25">
      <c r="A540" s="5" t="s">
        <v>487</v>
      </c>
      <c r="C540" s="20" t="str">
        <f t="shared" si="61"/>
        <v/>
      </c>
      <c r="D540" s="20" t="str">
        <f t="shared" si="62"/>
        <v/>
      </c>
      <c r="E540" s="19" t="s">
        <v>21</v>
      </c>
      <c r="F540" s="19" t="s">
        <v>22</v>
      </c>
      <c r="G540" s="4" t="str">
        <f t="shared" si="63"/>
        <v>//2021</v>
      </c>
      <c r="H540" s="19" t="s">
        <v>1</v>
      </c>
      <c r="I540" s="19" t="s">
        <v>0</v>
      </c>
      <c r="L540" s="22" t="e">
        <f>+VLOOKUP(K540,'[2]BASE DE PROVEEDORES'!$A:$B,2,0)</f>
        <v>#N/A</v>
      </c>
      <c r="M540" s="25">
        <v>0</v>
      </c>
      <c r="N540" s="5" t="s">
        <v>2</v>
      </c>
      <c r="O540" s="5" t="s">
        <v>2</v>
      </c>
      <c r="P540" s="6"/>
      <c r="Q540" s="5" t="s">
        <v>2</v>
      </c>
      <c r="R540" s="18" t="s">
        <v>2</v>
      </c>
      <c r="S540" s="18" t="s">
        <v>2</v>
      </c>
      <c r="T540" s="12">
        <f t="shared" si="64"/>
        <v>0</v>
      </c>
      <c r="U540" s="13">
        <f t="shared" si="65"/>
        <v>0</v>
      </c>
      <c r="V540" s="19" t="s">
        <v>3</v>
      </c>
    </row>
    <row r="541" spans="1:22" x14ac:dyDescent="0.25">
      <c r="A541" s="5" t="s">
        <v>487</v>
      </c>
      <c r="C541" s="20" t="str">
        <f t="shared" si="61"/>
        <v/>
      </c>
      <c r="D541" s="20" t="str">
        <f t="shared" si="62"/>
        <v/>
      </c>
      <c r="E541" s="19" t="s">
        <v>21</v>
      </c>
      <c r="F541" s="19" t="s">
        <v>22</v>
      </c>
      <c r="G541" s="4" t="str">
        <f t="shared" si="63"/>
        <v>//2021</v>
      </c>
      <c r="H541" s="19" t="s">
        <v>1</v>
      </c>
      <c r="I541" s="19" t="s">
        <v>0</v>
      </c>
      <c r="L541" s="22" t="e">
        <f>+VLOOKUP(K541,'[2]BASE DE PROVEEDORES'!$A:$B,2,0)</f>
        <v>#N/A</v>
      </c>
      <c r="M541" s="25">
        <v>0</v>
      </c>
      <c r="N541" s="5" t="s">
        <v>2</v>
      </c>
      <c r="O541" s="5" t="s">
        <v>2</v>
      </c>
      <c r="P541" s="6"/>
      <c r="Q541" s="5" t="s">
        <v>2</v>
      </c>
      <c r="R541" s="18" t="s">
        <v>2</v>
      </c>
      <c r="S541" s="18" t="s">
        <v>2</v>
      </c>
      <c r="T541" s="12">
        <f t="shared" si="64"/>
        <v>0</v>
      </c>
      <c r="U541" s="13">
        <f t="shared" si="65"/>
        <v>0</v>
      </c>
      <c r="V541" s="19" t="s">
        <v>3</v>
      </c>
    </row>
    <row r="542" spans="1:22" x14ac:dyDescent="0.25">
      <c r="A542" s="5" t="s">
        <v>487</v>
      </c>
      <c r="C542" s="20" t="str">
        <f t="shared" si="61"/>
        <v/>
      </c>
      <c r="D542" s="20" t="str">
        <f t="shared" si="62"/>
        <v/>
      </c>
      <c r="E542" s="19" t="s">
        <v>21</v>
      </c>
      <c r="F542" s="19" t="s">
        <v>22</v>
      </c>
      <c r="G542" s="4" t="str">
        <f t="shared" si="63"/>
        <v>//2021</v>
      </c>
      <c r="H542" s="19" t="s">
        <v>1</v>
      </c>
      <c r="I542" s="19" t="s">
        <v>0</v>
      </c>
      <c r="L542" s="22" t="e">
        <f>+VLOOKUP(K542,'[2]BASE DE PROVEEDORES'!$A:$B,2,0)</f>
        <v>#N/A</v>
      </c>
      <c r="M542" s="25">
        <v>0</v>
      </c>
      <c r="N542" s="5" t="s">
        <v>2</v>
      </c>
      <c r="O542" s="5" t="s">
        <v>2</v>
      </c>
      <c r="P542" s="6"/>
      <c r="Q542" s="5" t="s">
        <v>2</v>
      </c>
      <c r="R542" s="18" t="s">
        <v>2</v>
      </c>
      <c r="S542" s="18" t="s">
        <v>2</v>
      </c>
      <c r="T542" s="12">
        <f t="shared" si="64"/>
        <v>0</v>
      </c>
      <c r="U542" s="13">
        <f t="shared" si="65"/>
        <v>0</v>
      </c>
      <c r="V542" s="19" t="s">
        <v>3</v>
      </c>
    </row>
    <row r="543" spans="1:22" x14ac:dyDescent="0.25">
      <c r="A543" s="5" t="s">
        <v>487</v>
      </c>
      <c r="C543" s="20" t="str">
        <f t="shared" si="61"/>
        <v/>
      </c>
      <c r="D543" s="20" t="str">
        <f t="shared" si="62"/>
        <v/>
      </c>
      <c r="E543" s="19" t="s">
        <v>21</v>
      </c>
      <c r="F543" s="19" t="s">
        <v>22</v>
      </c>
      <c r="G543" s="4" t="str">
        <f t="shared" si="63"/>
        <v>//2021</v>
      </c>
      <c r="H543" s="19" t="s">
        <v>1</v>
      </c>
      <c r="I543" s="19" t="s">
        <v>0</v>
      </c>
      <c r="L543" s="22" t="e">
        <f>+VLOOKUP(K543,'[2]BASE DE PROVEEDORES'!$A:$B,2,0)</f>
        <v>#N/A</v>
      </c>
      <c r="M543" s="25">
        <v>0</v>
      </c>
      <c r="N543" s="5" t="s">
        <v>2</v>
      </c>
      <c r="O543" s="5" t="s">
        <v>2</v>
      </c>
      <c r="P543" s="6"/>
      <c r="Q543" s="5" t="s">
        <v>2</v>
      </c>
      <c r="R543" s="18" t="s">
        <v>2</v>
      </c>
      <c r="S543" s="18" t="s">
        <v>2</v>
      </c>
      <c r="T543" s="12">
        <f t="shared" si="64"/>
        <v>0</v>
      </c>
      <c r="U543" s="13">
        <f t="shared" si="65"/>
        <v>0</v>
      </c>
      <c r="V543" s="19" t="s">
        <v>3</v>
      </c>
    </row>
    <row r="544" spans="1:22" x14ac:dyDescent="0.25">
      <c r="A544" s="5" t="s">
        <v>487</v>
      </c>
      <c r="C544" s="20" t="str">
        <f t="shared" si="61"/>
        <v/>
      </c>
      <c r="D544" s="20" t="str">
        <f t="shared" si="62"/>
        <v/>
      </c>
      <c r="E544" s="19" t="s">
        <v>21</v>
      </c>
      <c r="F544" s="19" t="s">
        <v>22</v>
      </c>
      <c r="G544" s="4" t="str">
        <f t="shared" si="63"/>
        <v>//2021</v>
      </c>
      <c r="H544" s="19" t="s">
        <v>1</v>
      </c>
      <c r="I544" s="19" t="s">
        <v>0</v>
      </c>
      <c r="L544" s="22" t="e">
        <f>+VLOOKUP(K544,'[2]BASE DE PROVEEDORES'!$A:$B,2,0)</f>
        <v>#N/A</v>
      </c>
      <c r="M544" s="25">
        <v>0</v>
      </c>
      <c r="N544" s="5" t="s">
        <v>2</v>
      </c>
      <c r="O544" s="5" t="s">
        <v>2</v>
      </c>
      <c r="P544" s="6"/>
      <c r="Q544" s="5" t="s">
        <v>2</v>
      </c>
      <c r="R544" s="18" t="s">
        <v>2</v>
      </c>
      <c r="S544" s="18" t="s">
        <v>2</v>
      </c>
      <c r="T544" s="12">
        <f t="shared" si="64"/>
        <v>0</v>
      </c>
      <c r="U544" s="13">
        <f t="shared" si="65"/>
        <v>0</v>
      </c>
      <c r="V544" s="19" t="s">
        <v>3</v>
      </c>
    </row>
    <row r="545" spans="1:22" x14ac:dyDescent="0.25">
      <c r="A545" s="5" t="s">
        <v>487</v>
      </c>
      <c r="C545" s="20" t="str">
        <f t="shared" si="61"/>
        <v/>
      </c>
      <c r="D545" s="20" t="str">
        <f t="shared" si="62"/>
        <v/>
      </c>
      <c r="E545" s="19" t="s">
        <v>21</v>
      </c>
      <c r="F545" s="19" t="s">
        <v>22</v>
      </c>
      <c r="G545" s="4" t="str">
        <f t="shared" si="63"/>
        <v>//2021</v>
      </c>
      <c r="H545" s="19" t="s">
        <v>1</v>
      </c>
      <c r="I545" s="19" t="s">
        <v>0</v>
      </c>
      <c r="L545" s="22" t="e">
        <f>+VLOOKUP(K545,'[2]BASE DE PROVEEDORES'!$A:$B,2,0)</f>
        <v>#N/A</v>
      </c>
      <c r="M545" s="25">
        <v>0</v>
      </c>
      <c r="N545" s="5" t="s">
        <v>2</v>
      </c>
      <c r="O545" s="5" t="s">
        <v>2</v>
      </c>
      <c r="P545" s="6"/>
      <c r="Q545" s="5" t="s">
        <v>2</v>
      </c>
      <c r="R545" s="18" t="s">
        <v>2</v>
      </c>
      <c r="S545" s="18" t="s">
        <v>2</v>
      </c>
      <c r="T545" s="12">
        <f t="shared" si="64"/>
        <v>0</v>
      </c>
      <c r="U545" s="13">
        <f t="shared" si="65"/>
        <v>0</v>
      </c>
      <c r="V545" s="19" t="s">
        <v>3</v>
      </c>
    </row>
    <row r="546" spans="1:22" x14ac:dyDescent="0.25">
      <c r="A546" s="5" t="s">
        <v>487</v>
      </c>
      <c r="C546" s="20" t="str">
        <f t="shared" si="61"/>
        <v/>
      </c>
      <c r="D546" s="20" t="str">
        <f t="shared" si="62"/>
        <v/>
      </c>
      <c r="E546" s="19" t="s">
        <v>21</v>
      </c>
      <c r="F546" s="19" t="s">
        <v>22</v>
      </c>
      <c r="G546" s="4" t="str">
        <f t="shared" si="63"/>
        <v>//2021</v>
      </c>
      <c r="H546" s="19" t="s">
        <v>1</v>
      </c>
      <c r="I546" s="19" t="s">
        <v>0</v>
      </c>
      <c r="L546" s="22" t="e">
        <f>+VLOOKUP(K546,'[2]BASE DE PROVEEDORES'!$A:$B,2,0)</f>
        <v>#N/A</v>
      </c>
      <c r="M546" s="25">
        <v>0</v>
      </c>
      <c r="N546" s="5" t="s">
        <v>2</v>
      </c>
      <c r="O546" s="5" t="s">
        <v>2</v>
      </c>
      <c r="P546" s="6"/>
      <c r="Q546" s="5" t="s">
        <v>2</v>
      </c>
      <c r="R546" s="18" t="s">
        <v>2</v>
      </c>
      <c r="S546" s="18" t="s">
        <v>2</v>
      </c>
      <c r="T546" s="12">
        <f t="shared" si="64"/>
        <v>0</v>
      </c>
      <c r="U546" s="13">
        <f t="shared" si="65"/>
        <v>0</v>
      </c>
      <c r="V546" s="19" t="s">
        <v>3</v>
      </c>
    </row>
    <row r="547" spans="1:22" x14ac:dyDescent="0.25">
      <c r="A547" s="5" t="s">
        <v>487</v>
      </c>
      <c r="C547" s="20" t="str">
        <f t="shared" si="61"/>
        <v/>
      </c>
      <c r="D547" s="20" t="str">
        <f t="shared" si="62"/>
        <v/>
      </c>
      <c r="E547" s="19" t="s">
        <v>21</v>
      </c>
      <c r="F547" s="19" t="s">
        <v>22</v>
      </c>
      <c r="G547" s="4" t="str">
        <f t="shared" si="63"/>
        <v>//2021</v>
      </c>
      <c r="H547" s="19" t="s">
        <v>1</v>
      </c>
      <c r="I547" s="19" t="s">
        <v>0</v>
      </c>
      <c r="L547" s="22" t="e">
        <f>+VLOOKUP(K547,'[2]BASE DE PROVEEDORES'!$A:$B,2,0)</f>
        <v>#N/A</v>
      </c>
      <c r="M547" s="25">
        <v>0</v>
      </c>
      <c r="N547" s="5" t="s">
        <v>2</v>
      </c>
      <c r="O547" s="5" t="s">
        <v>2</v>
      </c>
      <c r="P547" s="6"/>
      <c r="Q547" s="5" t="s">
        <v>2</v>
      </c>
      <c r="R547" s="18" t="s">
        <v>2</v>
      </c>
      <c r="S547" s="18" t="s">
        <v>2</v>
      </c>
      <c r="T547" s="12">
        <f t="shared" si="64"/>
        <v>0</v>
      </c>
      <c r="U547" s="13">
        <f t="shared" si="65"/>
        <v>0</v>
      </c>
      <c r="V547" s="19" t="s">
        <v>3</v>
      </c>
    </row>
    <row r="548" spans="1:22" x14ac:dyDescent="0.25">
      <c r="A548" s="5" t="s">
        <v>487</v>
      </c>
      <c r="C548" s="20" t="str">
        <f t="shared" si="61"/>
        <v/>
      </c>
      <c r="D548" s="20" t="str">
        <f t="shared" si="62"/>
        <v/>
      </c>
      <c r="E548" s="19" t="s">
        <v>21</v>
      </c>
      <c r="F548" s="19" t="s">
        <v>22</v>
      </c>
      <c r="G548" s="4" t="str">
        <f t="shared" si="63"/>
        <v>//2021</v>
      </c>
      <c r="H548" s="19" t="s">
        <v>1</v>
      </c>
      <c r="I548" s="19" t="s">
        <v>0</v>
      </c>
      <c r="L548" s="22" t="e">
        <f>+VLOOKUP(K548,'[2]BASE DE PROVEEDORES'!$A:$B,2,0)</f>
        <v>#N/A</v>
      </c>
      <c r="M548" s="25">
        <v>0</v>
      </c>
      <c r="N548" s="5" t="s">
        <v>2</v>
      </c>
      <c r="O548" s="5" t="s">
        <v>2</v>
      </c>
      <c r="P548" s="6"/>
      <c r="Q548" s="5" t="s">
        <v>2</v>
      </c>
      <c r="R548" s="18" t="s">
        <v>2</v>
      </c>
      <c r="S548" s="18" t="s">
        <v>2</v>
      </c>
      <c r="T548" s="12">
        <f t="shared" si="64"/>
        <v>0</v>
      </c>
      <c r="U548" s="13">
        <f t="shared" si="65"/>
        <v>0</v>
      </c>
      <c r="V548" s="19" t="s">
        <v>3</v>
      </c>
    </row>
    <row r="549" spans="1:22" x14ac:dyDescent="0.25">
      <c r="A549" s="5" t="s">
        <v>487</v>
      </c>
      <c r="C549" s="20" t="str">
        <f t="shared" si="61"/>
        <v/>
      </c>
      <c r="D549" s="20" t="str">
        <f t="shared" si="62"/>
        <v/>
      </c>
      <c r="E549" s="19" t="s">
        <v>21</v>
      </c>
      <c r="F549" s="19" t="s">
        <v>22</v>
      </c>
      <c r="G549" s="4" t="str">
        <f t="shared" si="63"/>
        <v>//2021</v>
      </c>
      <c r="H549" s="19" t="s">
        <v>1</v>
      </c>
      <c r="I549" s="19" t="s">
        <v>0</v>
      </c>
      <c r="L549" s="22" t="e">
        <f>+VLOOKUP(K549,'[2]BASE DE PROVEEDORES'!$A:$B,2,0)</f>
        <v>#N/A</v>
      </c>
      <c r="M549" s="25">
        <v>0</v>
      </c>
      <c r="N549" s="5" t="s">
        <v>2</v>
      </c>
      <c r="O549" s="5" t="s">
        <v>2</v>
      </c>
      <c r="P549" s="6"/>
      <c r="Q549" s="5" t="s">
        <v>2</v>
      </c>
      <c r="R549" s="18" t="s">
        <v>2</v>
      </c>
      <c r="S549" s="18" t="s">
        <v>2</v>
      </c>
      <c r="T549" s="12">
        <f t="shared" si="64"/>
        <v>0</v>
      </c>
      <c r="U549" s="13">
        <f t="shared" si="65"/>
        <v>0</v>
      </c>
      <c r="V549" s="19" t="s">
        <v>3</v>
      </c>
    </row>
    <row r="550" spans="1:22" x14ac:dyDescent="0.25">
      <c r="A550" s="5" t="s">
        <v>487</v>
      </c>
      <c r="C550" s="20" t="str">
        <f t="shared" si="61"/>
        <v/>
      </c>
      <c r="D550" s="20" t="str">
        <f t="shared" si="62"/>
        <v/>
      </c>
      <c r="E550" s="19" t="s">
        <v>21</v>
      </c>
      <c r="F550" s="19" t="s">
        <v>22</v>
      </c>
      <c r="G550" s="4" t="str">
        <f t="shared" si="63"/>
        <v>//2021</v>
      </c>
      <c r="H550" s="19" t="s">
        <v>1</v>
      </c>
      <c r="I550" s="19" t="s">
        <v>0</v>
      </c>
      <c r="L550" s="22" t="e">
        <f>+VLOOKUP(K550,'[2]BASE DE PROVEEDORES'!$A:$B,2,0)</f>
        <v>#N/A</v>
      </c>
      <c r="M550" s="25">
        <v>0</v>
      </c>
      <c r="N550" s="5" t="s">
        <v>2</v>
      </c>
      <c r="O550" s="5" t="s">
        <v>2</v>
      </c>
      <c r="P550" s="6"/>
      <c r="Q550" s="5" t="s">
        <v>2</v>
      </c>
      <c r="R550" s="18" t="s">
        <v>2</v>
      </c>
      <c r="S550" s="18" t="s">
        <v>2</v>
      </c>
      <c r="T550" s="12">
        <f t="shared" si="64"/>
        <v>0</v>
      </c>
      <c r="U550" s="13">
        <f t="shared" si="65"/>
        <v>0</v>
      </c>
      <c r="V550" s="19" t="s">
        <v>3</v>
      </c>
    </row>
    <row r="551" spans="1:22" x14ac:dyDescent="0.25">
      <c r="A551" s="5" t="s">
        <v>487</v>
      </c>
      <c r="C551" s="20" t="str">
        <f t="shared" si="61"/>
        <v/>
      </c>
      <c r="D551" s="20" t="str">
        <f t="shared" si="62"/>
        <v/>
      </c>
      <c r="E551" s="19" t="s">
        <v>21</v>
      </c>
      <c r="F551" s="19" t="s">
        <v>22</v>
      </c>
      <c r="G551" s="4" t="str">
        <f t="shared" si="63"/>
        <v>//2021</v>
      </c>
      <c r="H551" s="19" t="s">
        <v>1</v>
      </c>
      <c r="I551" s="19" t="s">
        <v>0</v>
      </c>
      <c r="L551" s="22" t="e">
        <f>+VLOOKUP(K551,'[2]BASE DE PROVEEDORES'!$A:$B,2,0)</f>
        <v>#N/A</v>
      </c>
      <c r="M551" s="25">
        <v>0</v>
      </c>
      <c r="N551" s="5" t="s">
        <v>2</v>
      </c>
      <c r="O551" s="5" t="s">
        <v>2</v>
      </c>
      <c r="P551" s="6"/>
      <c r="Q551" s="5" t="s">
        <v>2</v>
      </c>
      <c r="R551" s="18" t="s">
        <v>2</v>
      </c>
      <c r="S551" s="18" t="s">
        <v>2</v>
      </c>
      <c r="T551" s="12">
        <f t="shared" si="64"/>
        <v>0</v>
      </c>
      <c r="U551" s="13">
        <f t="shared" si="65"/>
        <v>0</v>
      </c>
      <c r="V551" s="19" t="s">
        <v>3</v>
      </c>
    </row>
    <row r="552" spans="1:22" x14ac:dyDescent="0.25">
      <c r="A552" s="5" t="s">
        <v>487</v>
      </c>
      <c r="C552" s="20" t="str">
        <f t="shared" si="61"/>
        <v/>
      </c>
      <c r="D552" s="20" t="str">
        <f t="shared" si="62"/>
        <v/>
      </c>
      <c r="E552" s="19" t="s">
        <v>21</v>
      </c>
      <c r="F552" s="19" t="s">
        <v>22</v>
      </c>
      <c r="G552" s="4" t="str">
        <f t="shared" si="63"/>
        <v>//2021</v>
      </c>
      <c r="H552" s="19" t="s">
        <v>1</v>
      </c>
      <c r="I552" s="19" t="s">
        <v>0</v>
      </c>
      <c r="L552" s="22" t="e">
        <f>+VLOOKUP(K552,'[2]BASE DE PROVEEDORES'!$A:$B,2,0)</f>
        <v>#N/A</v>
      </c>
      <c r="M552" s="25">
        <v>0</v>
      </c>
      <c r="N552" s="5" t="s">
        <v>2</v>
      </c>
      <c r="O552" s="5" t="s">
        <v>2</v>
      </c>
      <c r="P552" s="6"/>
      <c r="Q552" s="5" t="s">
        <v>2</v>
      </c>
      <c r="R552" s="18" t="s">
        <v>2</v>
      </c>
      <c r="S552" s="18" t="s">
        <v>2</v>
      </c>
      <c r="T552" s="12">
        <f t="shared" si="64"/>
        <v>0</v>
      </c>
      <c r="U552" s="13">
        <f t="shared" si="65"/>
        <v>0</v>
      </c>
      <c r="V552" s="19" t="s">
        <v>3</v>
      </c>
    </row>
    <row r="553" spans="1:22" x14ac:dyDescent="0.25">
      <c r="A553" s="5" t="s">
        <v>487</v>
      </c>
      <c r="C553" s="20" t="str">
        <f t="shared" si="61"/>
        <v/>
      </c>
      <c r="D553" s="20" t="str">
        <f t="shared" si="62"/>
        <v/>
      </c>
      <c r="E553" s="19" t="s">
        <v>21</v>
      </c>
      <c r="F553" s="19" t="s">
        <v>22</v>
      </c>
      <c r="G553" s="4" t="str">
        <f t="shared" si="63"/>
        <v>//2021</v>
      </c>
      <c r="H553" s="19" t="s">
        <v>1</v>
      </c>
      <c r="I553" s="19" t="s">
        <v>0</v>
      </c>
      <c r="L553" s="22" t="e">
        <f>+VLOOKUP(K553,'[2]BASE DE PROVEEDORES'!$A:$B,2,0)</f>
        <v>#N/A</v>
      </c>
      <c r="M553" s="25">
        <v>0</v>
      </c>
      <c r="N553" s="5" t="s">
        <v>2</v>
      </c>
      <c r="O553" s="5" t="s">
        <v>2</v>
      </c>
      <c r="P553" s="6"/>
      <c r="Q553" s="5" t="s">
        <v>2</v>
      </c>
      <c r="R553" s="18" t="s">
        <v>2</v>
      </c>
      <c r="S553" s="18" t="s">
        <v>2</v>
      </c>
      <c r="T553" s="12">
        <f t="shared" si="64"/>
        <v>0</v>
      </c>
      <c r="U553" s="13">
        <f t="shared" si="65"/>
        <v>0</v>
      </c>
      <c r="V553" s="19" t="s">
        <v>3</v>
      </c>
    </row>
    <row r="554" spans="1:22" x14ac:dyDescent="0.25">
      <c r="A554" s="5" t="s">
        <v>487</v>
      </c>
      <c r="C554" s="20" t="str">
        <f t="shared" si="61"/>
        <v/>
      </c>
      <c r="D554" s="20" t="str">
        <f t="shared" si="62"/>
        <v/>
      </c>
      <c r="E554" s="19" t="s">
        <v>21</v>
      </c>
      <c r="F554" s="19" t="s">
        <v>22</v>
      </c>
      <c r="G554" s="4" t="str">
        <f t="shared" si="63"/>
        <v>//2021</v>
      </c>
      <c r="H554" s="19" t="s">
        <v>1</v>
      </c>
      <c r="I554" s="19" t="s">
        <v>0</v>
      </c>
      <c r="L554" s="22" t="e">
        <f>+VLOOKUP(K554,'[2]BASE DE PROVEEDORES'!$A:$B,2,0)</f>
        <v>#N/A</v>
      </c>
      <c r="M554" s="25">
        <v>0</v>
      </c>
      <c r="N554" s="5" t="s">
        <v>2</v>
      </c>
      <c r="O554" s="5" t="s">
        <v>2</v>
      </c>
      <c r="P554" s="6"/>
      <c r="Q554" s="5" t="s">
        <v>2</v>
      </c>
      <c r="R554" s="18" t="s">
        <v>2</v>
      </c>
      <c r="S554" s="18" t="s">
        <v>2</v>
      </c>
      <c r="T554" s="12">
        <f t="shared" si="64"/>
        <v>0</v>
      </c>
      <c r="U554" s="13">
        <f t="shared" si="65"/>
        <v>0</v>
      </c>
      <c r="V554" s="19" t="s">
        <v>3</v>
      </c>
    </row>
    <row r="555" spans="1:22" x14ac:dyDescent="0.25">
      <c r="A555" s="5" t="s">
        <v>487</v>
      </c>
      <c r="C555" s="20" t="str">
        <f t="shared" si="61"/>
        <v/>
      </c>
      <c r="D555" s="20" t="str">
        <f t="shared" si="62"/>
        <v/>
      </c>
      <c r="E555" s="19" t="s">
        <v>21</v>
      </c>
      <c r="F555" s="19" t="s">
        <v>22</v>
      </c>
      <c r="G555" s="4" t="str">
        <f t="shared" si="63"/>
        <v>//2021</v>
      </c>
      <c r="H555" s="19" t="s">
        <v>1</v>
      </c>
      <c r="I555" s="19" t="s">
        <v>0</v>
      </c>
      <c r="L555" s="22" t="e">
        <f>+VLOOKUP(K555,'[2]BASE DE PROVEEDORES'!$A:$B,2,0)</f>
        <v>#N/A</v>
      </c>
      <c r="M555" s="25">
        <v>0</v>
      </c>
      <c r="N555" s="5" t="s">
        <v>2</v>
      </c>
      <c r="O555" s="5" t="s">
        <v>2</v>
      </c>
      <c r="P555" s="6"/>
      <c r="Q555" s="5" t="s">
        <v>2</v>
      </c>
      <c r="R555" s="18" t="s">
        <v>2</v>
      </c>
      <c r="S555" s="18" t="s">
        <v>2</v>
      </c>
      <c r="T555" s="12">
        <f t="shared" si="64"/>
        <v>0</v>
      </c>
      <c r="U555" s="13">
        <f t="shared" si="65"/>
        <v>0</v>
      </c>
      <c r="V555" s="19" t="s">
        <v>3</v>
      </c>
    </row>
    <row r="556" spans="1:22" x14ac:dyDescent="0.25">
      <c r="A556" s="5" t="s">
        <v>487</v>
      </c>
      <c r="C556" s="20" t="str">
        <f t="shared" si="61"/>
        <v/>
      </c>
      <c r="D556" s="20" t="str">
        <f t="shared" si="62"/>
        <v/>
      </c>
      <c r="E556" s="19" t="s">
        <v>21</v>
      </c>
      <c r="F556" s="19" t="s">
        <v>22</v>
      </c>
      <c r="G556" s="4" t="str">
        <f t="shared" si="63"/>
        <v>//2021</v>
      </c>
      <c r="H556" s="19" t="s">
        <v>1</v>
      </c>
      <c r="I556" s="19" t="s">
        <v>0</v>
      </c>
      <c r="L556" s="22" t="e">
        <f>+VLOOKUP(K556,'[2]BASE DE PROVEEDORES'!$A:$B,2,0)</f>
        <v>#N/A</v>
      </c>
      <c r="M556" s="25">
        <v>0</v>
      </c>
      <c r="N556" s="5" t="s">
        <v>2</v>
      </c>
      <c r="O556" s="5" t="s">
        <v>2</v>
      </c>
      <c r="P556" s="6"/>
      <c r="Q556" s="5" t="s">
        <v>2</v>
      </c>
      <c r="R556" s="18" t="s">
        <v>2</v>
      </c>
      <c r="S556" s="18" t="s">
        <v>2</v>
      </c>
      <c r="T556" s="12">
        <f t="shared" si="64"/>
        <v>0</v>
      </c>
      <c r="U556" s="13">
        <f t="shared" si="65"/>
        <v>0</v>
      </c>
      <c r="V556" s="19" t="s">
        <v>3</v>
      </c>
    </row>
    <row r="557" spans="1:22" x14ac:dyDescent="0.25">
      <c r="A557" s="5" t="s">
        <v>487</v>
      </c>
      <c r="C557" s="20" t="str">
        <f t="shared" si="61"/>
        <v/>
      </c>
      <c r="D557" s="20" t="str">
        <f t="shared" si="62"/>
        <v/>
      </c>
      <c r="E557" s="19" t="s">
        <v>21</v>
      </c>
      <c r="F557" s="19" t="s">
        <v>22</v>
      </c>
      <c r="G557" s="4" t="str">
        <f t="shared" si="63"/>
        <v>//2021</v>
      </c>
      <c r="H557" s="19" t="s">
        <v>1</v>
      </c>
      <c r="I557" s="19" t="s">
        <v>0</v>
      </c>
      <c r="L557" s="22" t="e">
        <f>+VLOOKUP(K557,'[2]BASE DE PROVEEDORES'!$A:$B,2,0)</f>
        <v>#N/A</v>
      </c>
      <c r="M557" s="25">
        <v>0</v>
      </c>
      <c r="N557" s="5" t="s">
        <v>2</v>
      </c>
      <c r="O557" s="5" t="s">
        <v>2</v>
      </c>
      <c r="P557" s="6"/>
      <c r="Q557" s="5" t="s">
        <v>2</v>
      </c>
      <c r="R557" s="18" t="s">
        <v>2</v>
      </c>
      <c r="S557" s="18" t="s">
        <v>2</v>
      </c>
      <c r="T557" s="12">
        <f t="shared" si="64"/>
        <v>0</v>
      </c>
      <c r="U557" s="13">
        <f t="shared" si="65"/>
        <v>0</v>
      </c>
      <c r="V557" s="19" t="s">
        <v>3</v>
      </c>
    </row>
    <row r="558" spans="1:22" x14ac:dyDescent="0.25">
      <c r="A558" s="5" t="s">
        <v>487</v>
      </c>
      <c r="C558" s="20" t="str">
        <f t="shared" si="61"/>
        <v/>
      </c>
      <c r="D558" s="20" t="str">
        <f t="shared" si="62"/>
        <v/>
      </c>
      <c r="E558" s="19" t="s">
        <v>21</v>
      </c>
      <c r="F558" s="19" t="s">
        <v>22</v>
      </c>
      <c r="G558" s="4" t="str">
        <f t="shared" si="63"/>
        <v>//2021</v>
      </c>
      <c r="H558" s="19" t="s">
        <v>1</v>
      </c>
      <c r="I558" s="19" t="s">
        <v>0</v>
      </c>
      <c r="L558" s="22" t="e">
        <f>+VLOOKUP(K558,'[2]BASE DE PROVEEDORES'!$A:$B,2,0)</f>
        <v>#N/A</v>
      </c>
      <c r="M558" s="25">
        <v>0</v>
      </c>
      <c r="N558" s="5" t="s">
        <v>2</v>
      </c>
      <c r="O558" s="5" t="s">
        <v>2</v>
      </c>
      <c r="P558" s="6"/>
      <c r="Q558" s="5" t="s">
        <v>2</v>
      </c>
      <c r="R558" s="18" t="s">
        <v>2</v>
      </c>
      <c r="S558" s="18" t="s">
        <v>2</v>
      </c>
      <c r="T558" s="12">
        <f t="shared" si="64"/>
        <v>0</v>
      </c>
      <c r="U558" s="13">
        <f t="shared" si="65"/>
        <v>0</v>
      </c>
      <c r="V558" s="19" t="s">
        <v>3</v>
      </c>
    </row>
    <row r="559" spans="1:22" x14ac:dyDescent="0.25">
      <c r="A559" s="5" t="s">
        <v>487</v>
      </c>
      <c r="C559" s="20" t="str">
        <f t="shared" si="61"/>
        <v/>
      </c>
      <c r="D559" s="20" t="str">
        <f t="shared" si="62"/>
        <v/>
      </c>
      <c r="E559" s="19" t="s">
        <v>21</v>
      </c>
      <c r="F559" s="19" t="s">
        <v>22</v>
      </c>
      <c r="G559" s="4" t="str">
        <f t="shared" si="63"/>
        <v>//2021</v>
      </c>
      <c r="H559" s="19" t="s">
        <v>1</v>
      </c>
      <c r="I559" s="19" t="s">
        <v>0</v>
      </c>
      <c r="L559" s="22" t="e">
        <f>+VLOOKUP(K559,'[2]BASE DE PROVEEDORES'!$A:$B,2,0)</f>
        <v>#N/A</v>
      </c>
      <c r="M559" s="25">
        <v>0</v>
      </c>
      <c r="N559" s="5" t="s">
        <v>2</v>
      </c>
      <c r="O559" s="5" t="s">
        <v>2</v>
      </c>
      <c r="P559" s="6"/>
      <c r="Q559" s="5" t="s">
        <v>2</v>
      </c>
      <c r="R559" s="18" t="s">
        <v>2</v>
      </c>
      <c r="S559" s="18" t="s">
        <v>2</v>
      </c>
      <c r="T559" s="12">
        <f t="shared" si="64"/>
        <v>0</v>
      </c>
      <c r="U559" s="13">
        <f t="shared" si="65"/>
        <v>0</v>
      </c>
      <c r="V559" s="19" t="s">
        <v>3</v>
      </c>
    </row>
    <row r="560" spans="1:22" x14ac:dyDescent="0.25">
      <c r="A560" s="5" t="s">
        <v>487</v>
      </c>
      <c r="C560" s="20" t="str">
        <f t="shared" si="61"/>
        <v/>
      </c>
      <c r="D560" s="20" t="str">
        <f t="shared" si="62"/>
        <v/>
      </c>
      <c r="E560" s="19" t="s">
        <v>21</v>
      </c>
      <c r="F560" s="19" t="s">
        <v>22</v>
      </c>
      <c r="G560" s="4" t="str">
        <f t="shared" si="63"/>
        <v>//2021</v>
      </c>
      <c r="H560" s="19" t="s">
        <v>1</v>
      </c>
      <c r="I560" s="19" t="s">
        <v>0</v>
      </c>
      <c r="L560" s="22" t="e">
        <f>+VLOOKUP(K560,'[2]BASE DE PROVEEDORES'!$A:$B,2,0)</f>
        <v>#N/A</v>
      </c>
      <c r="M560" s="25">
        <v>0</v>
      </c>
      <c r="N560" s="5" t="s">
        <v>2</v>
      </c>
      <c r="O560" s="5" t="s">
        <v>2</v>
      </c>
      <c r="P560" s="6"/>
      <c r="Q560" s="5" t="s">
        <v>2</v>
      </c>
      <c r="R560" s="18" t="s">
        <v>2</v>
      </c>
      <c r="S560" s="18" t="s">
        <v>2</v>
      </c>
      <c r="T560" s="12">
        <f t="shared" si="64"/>
        <v>0</v>
      </c>
      <c r="U560" s="13">
        <f t="shared" si="65"/>
        <v>0</v>
      </c>
      <c r="V560" s="19" t="s">
        <v>3</v>
      </c>
    </row>
    <row r="561" spans="1:22" x14ac:dyDescent="0.25">
      <c r="A561" s="5" t="s">
        <v>487</v>
      </c>
      <c r="C561" s="20" t="str">
        <f t="shared" si="61"/>
        <v/>
      </c>
      <c r="D561" s="20" t="str">
        <f t="shared" si="62"/>
        <v/>
      </c>
      <c r="E561" s="19" t="s">
        <v>21</v>
      </c>
      <c r="F561" s="19" t="s">
        <v>22</v>
      </c>
      <c r="G561" s="4" t="str">
        <f t="shared" si="63"/>
        <v>//2021</v>
      </c>
      <c r="H561" s="19" t="s">
        <v>1</v>
      </c>
      <c r="I561" s="19" t="s">
        <v>0</v>
      </c>
      <c r="L561" s="22" t="e">
        <f>+VLOOKUP(K561,'[2]BASE DE PROVEEDORES'!$A:$B,2,0)</f>
        <v>#N/A</v>
      </c>
      <c r="M561" s="25">
        <v>0</v>
      </c>
      <c r="N561" s="5" t="s">
        <v>2</v>
      </c>
      <c r="O561" s="5" t="s">
        <v>2</v>
      </c>
      <c r="P561" s="6"/>
      <c r="Q561" s="5" t="s">
        <v>2</v>
      </c>
      <c r="R561" s="18" t="s">
        <v>2</v>
      </c>
      <c r="S561" s="18" t="s">
        <v>2</v>
      </c>
      <c r="T561" s="12">
        <f t="shared" si="64"/>
        <v>0</v>
      </c>
      <c r="U561" s="13">
        <f t="shared" si="65"/>
        <v>0</v>
      </c>
      <c r="V561" s="19" t="s">
        <v>3</v>
      </c>
    </row>
    <row r="562" spans="1:22" x14ac:dyDescent="0.25">
      <c r="A562" s="5" t="s">
        <v>487</v>
      </c>
      <c r="C562" s="20" t="str">
        <f t="shared" si="61"/>
        <v/>
      </c>
      <c r="D562" s="20" t="str">
        <f t="shared" si="62"/>
        <v/>
      </c>
      <c r="E562" s="19" t="s">
        <v>21</v>
      </c>
      <c r="F562" s="19" t="s">
        <v>22</v>
      </c>
      <c r="G562" s="4" t="str">
        <f t="shared" si="63"/>
        <v>//2021</v>
      </c>
      <c r="H562" s="19" t="s">
        <v>1</v>
      </c>
      <c r="I562" s="19" t="s">
        <v>0</v>
      </c>
      <c r="L562" s="22" t="e">
        <f>+VLOOKUP(K562,'[2]BASE DE PROVEEDORES'!$A:$B,2,0)</f>
        <v>#N/A</v>
      </c>
      <c r="M562" s="25">
        <v>0</v>
      </c>
      <c r="N562" s="5" t="s">
        <v>2</v>
      </c>
      <c r="O562" s="5" t="s">
        <v>2</v>
      </c>
      <c r="P562" s="6"/>
      <c r="Q562" s="5" t="s">
        <v>2</v>
      </c>
      <c r="R562" s="18" t="s">
        <v>2</v>
      </c>
      <c r="S562" s="18" t="s">
        <v>2</v>
      </c>
      <c r="T562" s="12">
        <f t="shared" si="64"/>
        <v>0</v>
      </c>
      <c r="U562" s="13">
        <f t="shared" si="65"/>
        <v>0</v>
      </c>
      <c r="V562" s="19" t="s">
        <v>3</v>
      </c>
    </row>
    <row r="563" spans="1:22" x14ac:dyDescent="0.25">
      <c r="A563" s="5" t="s">
        <v>487</v>
      </c>
      <c r="C563" s="20" t="str">
        <f t="shared" si="61"/>
        <v/>
      </c>
      <c r="D563" s="20" t="str">
        <f t="shared" si="62"/>
        <v/>
      </c>
      <c r="E563" s="19" t="s">
        <v>21</v>
      </c>
      <c r="F563" s="19" t="s">
        <v>22</v>
      </c>
      <c r="G563" s="4" t="str">
        <f t="shared" si="63"/>
        <v>//2021</v>
      </c>
      <c r="H563" s="19" t="s">
        <v>1</v>
      </c>
      <c r="I563" s="19" t="s">
        <v>0</v>
      </c>
      <c r="L563" s="22" t="e">
        <f>+VLOOKUP(K563,'[2]BASE DE PROVEEDORES'!$A:$B,2,0)</f>
        <v>#N/A</v>
      </c>
      <c r="M563" s="25">
        <v>0</v>
      </c>
      <c r="N563" s="5" t="s">
        <v>2</v>
      </c>
      <c r="O563" s="5" t="s">
        <v>2</v>
      </c>
      <c r="P563" s="6"/>
      <c r="Q563" s="5" t="s">
        <v>2</v>
      </c>
      <c r="R563" s="18" t="s">
        <v>2</v>
      </c>
      <c r="S563" s="18" t="s">
        <v>2</v>
      </c>
      <c r="T563" s="12">
        <f t="shared" si="64"/>
        <v>0</v>
      </c>
      <c r="U563" s="13">
        <f t="shared" si="65"/>
        <v>0</v>
      </c>
      <c r="V563" s="19" t="s">
        <v>3</v>
      </c>
    </row>
    <row r="564" spans="1:22" x14ac:dyDescent="0.25">
      <c r="A564" s="5" t="s">
        <v>487</v>
      </c>
      <c r="C564" s="20" t="str">
        <f t="shared" ref="C564:C601" si="66">+LEFT(B564,2)</f>
        <v/>
      </c>
      <c r="D564" s="20" t="str">
        <f t="shared" ref="D564:D601" si="67">+RIGHT(B564,2)</f>
        <v/>
      </c>
      <c r="E564" s="19" t="s">
        <v>21</v>
      </c>
      <c r="F564" s="19" t="s">
        <v>22</v>
      </c>
      <c r="G564" s="4" t="str">
        <f t="shared" ref="G564:G601" si="68">+C564&amp;F564&amp;D564&amp;F564&amp;E564</f>
        <v>//2021</v>
      </c>
      <c r="H564" s="19" t="s">
        <v>1</v>
      </c>
      <c r="I564" s="19" t="s">
        <v>0</v>
      </c>
      <c r="L564" s="22" t="e">
        <f>+VLOOKUP(K564,'[2]BASE DE PROVEEDORES'!$A:$B,2,0)</f>
        <v>#N/A</v>
      </c>
      <c r="M564" s="25">
        <v>0</v>
      </c>
      <c r="N564" s="5" t="s">
        <v>2</v>
      </c>
      <c r="O564" s="5" t="s">
        <v>2</v>
      </c>
      <c r="P564" s="6"/>
      <c r="Q564" s="5" t="s">
        <v>2</v>
      </c>
      <c r="R564" s="18" t="s">
        <v>2</v>
      </c>
      <c r="S564" s="18" t="s">
        <v>2</v>
      </c>
      <c r="T564" s="12">
        <f t="shared" ref="T564:T601" si="69">+P564*0.13</f>
        <v>0</v>
      </c>
      <c r="U564" s="13">
        <f t="shared" ref="U564:U601" si="70">+M564+P564+T564</f>
        <v>0</v>
      </c>
      <c r="V564" s="19" t="s">
        <v>3</v>
      </c>
    </row>
    <row r="565" spans="1:22" x14ac:dyDescent="0.25">
      <c r="A565" s="5" t="s">
        <v>487</v>
      </c>
      <c r="C565" s="20" t="str">
        <f t="shared" si="66"/>
        <v/>
      </c>
      <c r="D565" s="20" t="str">
        <f t="shared" si="67"/>
        <v/>
      </c>
      <c r="E565" s="19" t="s">
        <v>21</v>
      </c>
      <c r="F565" s="19" t="s">
        <v>22</v>
      </c>
      <c r="G565" s="4" t="str">
        <f t="shared" si="68"/>
        <v>//2021</v>
      </c>
      <c r="H565" s="19" t="s">
        <v>1</v>
      </c>
      <c r="I565" s="19" t="s">
        <v>0</v>
      </c>
      <c r="L565" s="22" t="e">
        <f>+VLOOKUP(K565,'[2]BASE DE PROVEEDORES'!$A:$B,2,0)</f>
        <v>#N/A</v>
      </c>
      <c r="M565" s="25">
        <v>0</v>
      </c>
      <c r="N565" s="5" t="s">
        <v>2</v>
      </c>
      <c r="O565" s="5" t="s">
        <v>2</v>
      </c>
      <c r="P565" s="6"/>
      <c r="Q565" s="5" t="s">
        <v>2</v>
      </c>
      <c r="R565" s="18" t="s">
        <v>2</v>
      </c>
      <c r="S565" s="18" t="s">
        <v>2</v>
      </c>
      <c r="T565" s="12">
        <f t="shared" si="69"/>
        <v>0</v>
      </c>
      <c r="U565" s="13">
        <f t="shared" si="70"/>
        <v>0</v>
      </c>
      <c r="V565" s="19" t="s">
        <v>3</v>
      </c>
    </row>
    <row r="566" spans="1:22" x14ac:dyDescent="0.25">
      <c r="A566" s="5" t="s">
        <v>487</v>
      </c>
      <c r="C566" s="20" t="str">
        <f t="shared" si="66"/>
        <v/>
      </c>
      <c r="D566" s="20" t="str">
        <f t="shared" si="67"/>
        <v/>
      </c>
      <c r="E566" s="19" t="s">
        <v>21</v>
      </c>
      <c r="F566" s="19" t="s">
        <v>22</v>
      </c>
      <c r="G566" s="4" t="str">
        <f t="shared" si="68"/>
        <v>//2021</v>
      </c>
      <c r="H566" s="19" t="s">
        <v>1</v>
      </c>
      <c r="I566" s="19" t="s">
        <v>0</v>
      </c>
      <c r="L566" s="22" t="e">
        <f>+VLOOKUP(K566,'[2]BASE DE PROVEEDORES'!$A:$B,2,0)</f>
        <v>#N/A</v>
      </c>
      <c r="M566" s="25">
        <v>0</v>
      </c>
      <c r="N566" s="5" t="s">
        <v>2</v>
      </c>
      <c r="O566" s="5" t="s">
        <v>2</v>
      </c>
      <c r="P566" s="6"/>
      <c r="Q566" s="5" t="s">
        <v>2</v>
      </c>
      <c r="R566" s="18" t="s">
        <v>2</v>
      </c>
      <c r="S566" s="18" t="s">
        <v>2</v>
      </c>
      <c r="T566" s="12">
        <f t="shared" si="69"/>
        <v>0</v>
      </c>
      <c r="U566" s="13">
        <f t="shared" si="70"/>
        <v>0</v>
      </c>
      <c r="V566" s="19" t="s">
        <v>3</v>
      </c>
    </row>
    <row r="567" spans="1:22" x14ac:dyDescent="0.25">
      <c r="A567" s="5" t="s">
        <v>487</v>
      </c>
      <c r="C567" s="20" t="str">
        <f t="shared" si="66"/>
        <v/>
      </c>
      <c r="D567" s="20" t="str">
        <f t="shared" si="67"/>
        <v/>
      </c>
      <c r="E567" s="19" t="s">
        <v>21</v>
      </c>
      <c r="F567" s="19" t="s">
        <v>22</v>
      </c>
      <c r="G567" s="4" t="str">
        <f t="shared" si="68"/>
        <v>//2021</v>
      </c>
      <c r="H567" s="19" t="s">
        <v>1</v>
      </c>
      <c r="I567" s="19" t="s">
        <v>0</v>
      </c>
      <c r="L567" s="22" t="e">
        <f>+VLOOKUP(K567,'[2]BASE DE PROVEEDORES'!$A:$B,2,0)</f>
        <v>#N/A</v>
      </c>
      <c r="M567" s="25">
        <v>0</v>
      </c>
      <c r="N567" s="5" t="s">
        <v>2</v>
      </c>
      <c r="O567" s="5" t="s">
        <v>2</v>
      </c>
      <c r="P567" s="6"/>
      <c r="Q567" s="5" t="s">
        <v>2</v>
      </c>
      <c r="R567" s="18" t="s">
        <v>2</v>
      </c>
      <c r="S567" s="18" t="s">
        <v>2</v>
      </c>
      <c r="T567" s="12">
        <f t="shared" si="69"/>
        <v>0</v>
      </c>
      <c r="U567" s="13">
        <f t="shared" si="70"/>
        <v>0</v>
      </c>
      <c r="V567" s="19" t="s">
        <v>3</v>
      </c>
    </row>
    <row r="568" spans="1:22" x14ac:dyDescent="0.25">
      <c r="A568" s="5" t="s">
        <v>487</v>
      </c>
      <c r="C568" s="20" t="str">
        <f t="shared" si="66"/>
        <v/>
      </c>
      <c r="D568" s="20" t="str">
        <f t="shared" si="67"/>
        <v/>
      </c>
      <c r="E568" s="19" t="s">
        <v>21</v>
      </c>
      <c r="F568" s="19" t="s">
        <v>22</v>
      </c>
      <c r="G568" s="4" t="str">
        <f t="shared" si="68"/>
        <v>//2021</v>
      </c>
      <c r="H568" s="19" t="s">
        <v>1</v>
      </c>
      <c r="I568" s="19" t="s">
        <v>0</v>
      </c>
      <c r="L568" s="22" t="e">
        <f>+VLOOKUP(K568,'[2]BASE DE PROVEEDORES'!$A:$B,2,0)</f>
        <v>#N/A</v>
      </c>
      <c r="M568" s="25">
        <v>0</v>
      </c>
      <c r="N568" s="5" t="s">
        <v>2</v>
      </c>
      <c r="O568" s="5" t="s">
        <v>2</v>
      </c>
      <c r="P568" s="6"/>
      <c r="Q568" s="5" t="s">
        <v>2</v>
      </c>
      <c r="R568" s="18" t="s">
        <v>2</v>
      </c>
      <c r="S568" s="18" t="s">
        <v>2</v>
      </c>
      <c r="T568" s="12">
        <f t="shared" si="69"/>
        <v>0</v>
      </c>
      <c r="U568" s="13">
        <f t="shared" si="70"/>
        <v>0</v>
      </c>
      <c r="V568" s="19" t="s">
        <v>3</v>
      </c>
    </row>
    <row r="569" spans="1:22" x14ac:dyDescent="0.25">
      <c r="A569" s="5" t="s">
        <v>487</v>
      </c>
      <c r="C569" s="20" t="str">
        <f t="shared" si="66"/>
        <v/>
      </c>
      <c r="D569" s="20" t="str">
        <f t="shared" si="67"/>
        <v/>
      </c>
      <c r="E569" s="19" t="s">
        <v>21</v>
      </c>
      <c r="F569" s="19" t="s">
        <v>22</v>
      </c>
      <c r="G569" s="4" t="str">
        <f t="shared" si="68"/>
        <v>//2021</v>
      </c>
      <c r="H569" s="19" t="s">
        <v>1</v>
      </c>
      <c r="I569" s="19" t="s">
        <v>0</v>
      </c>
      <c r="L569" s="22" t="e">
        <f>+VLOOKUP(K569,'[2]BASE DE PROVEEDORES'!$A:$B,2,0)</f>
        <v>#N/A</v>
      </c>
      <c r="M569" s="25">
        <v>0</v>
      </c>
      <c r="N569" s="5" t="s">
        <v>2</v>
      </c>
      <c r="O569" s="5" t="s">
        <v>2</v>
      </c>
      <c r="P569" s="6"/>
      <c r="Q569" s="5" t="s">
        <v>2</v>
      </c>
      <c r="R569" s="18" t="s">
        <v>2</v>
      </c>
      <c r="S569" s="18" t="s">
        <v>2</v>
      </c>
      <c r="T569" s="12">
        <f t="shared" si="69"/>
        <v>0</v>
      </c>
      <c r="U569" s="13">
        <f t="shared" si="70"/>
        <v>0</v>
      </c>
      <c r="V569" s="19" t="s">
        <v>3</v>
      </c>
    </row>
    <row r="570" spans="1:22" x14ac:dyDescent="0.25">
      <c r="A570" s="5" t="s">
        <v>487</v>
      </c>
      <c r="C570" s="20" t="str">
        <f t="shared" si="66"/>
        <v/>
      </c>
      <c r="D570" s="20" t="str">
        <f t="shared" si="67"/>
        <v/>
      </c>
      <c r="E570" s="19" t="s">
        <v>21</v>
      </c>
      <c r="F570" s="19" t="s">
        <v>22</v>
      </c>
      <c r="G570" s="4" t="str">
        <f t="shared" si="68"/>
        <v>//2021</v>
      </c>
      <c r="H570" s="19" t="s">
        <v>1</v>
      </c>
      <c r="I570" s="19" t="s">
        <v>0</v>
      </c>
      <c r="L570" s="22" t="e">
        <f>+VLOOKUP(K570,'[2]BASE DE PROVEEDORES'!$A:$B,2,0)</f>
        <v>#N/A</v>
      </c>
      <c r="M570" s="25">
        <v>0</v>
      </c>
      <c r="N570" s="5" t="s">
        <v>2</v>
      </c>
      <c r="O570" s="5" t="s">
        <v>2</v>
      </c>
      <c r="P570" s="6"/>
      <c r="Q570" s="5" t="s">
        <v>2</v>
      </c>
      <c r="R570" s="18" t="s">
        <v>2</v>
      </c>
      <c r="S570" s="18" t="s">
        <v>2</v>
      </c>
      <c r="T570" s="12">
        <f t="shared" si="69"/>
        <v>0</v>
      </c>
      <c r="U570" s="13">
        <f t="shared" si="70"/>
        <v>0</v>
      </c>
      <c r="V570" s="19" t="s">
        <v>3</v>
      </c>
    </row>
    <row r="571" spans="1:22" x14ac:dyDescent="0.25">
      <c r="A571" s="5" t="s">
        <v>487</v>
      </c>
      <c r="C571" s="20" t="str">
        <f t="shared" si="66"/>
        <v/>
      </c>
      <c r="D571" s="20" t="str">
        <f t="shared" si="67"/>
        <v/>
      </c>
      <c r="E571" s="19" t="s">
        <v>21</v>
      </c>
      <c r="F571" s="19" t="s">
        <v>22</v>
      </c>
      <c r="G571" s="4" t="str">
        <f t="shared" si="68"/>
        <v>//2021</v>
      </c>
      <c r="H571" s="19" t="s">
        <v>1</v>
      </c>
      <c r="I571" s="19" t="s">
        <v>0</v>
      </c>
      <c r="L571" s="22" t="e">
        <f>+VLOOKUP(K571,'[2]BASE DE PROVEEDORES'!$A:$B,2,0)</f>
        <v>#N/A</v>
      </c>
      <c r="M571" s="25">
        <v>0</v>
      </c>
      <c r="N571" s="5" t="s">
        <v>2</v>
      </c>
      <c r="O571" s="5" t="s">
        <v>2</v>
      </c>
      <c r="P571" s="6"/>
      <c r="Q571" s="5" t="s">
        <v>2</v>
      </c>
      <c r="R571" s="18" t="s">
        <v>2</v>
      </c>
      <c r="S571" s="18" t="s">
        <v>2</v>
      </c>
      <c r="T571" s="12">
        <f t="shared" si="69"/>
        <v>0</v>
      </c>
      <c r="U571" s="13">
        <f t="shared" si="70"/>
        <v>0</v>
      </c>
      <c r="V571" s="19" t="s">
        <v>3</v>
      </c>
    </row>
    <row r="572" spans="1:22" x14ac:dyDescent="0.25">
      <c r="A572" s="5" t="s">
        <v>487</v>
      </c>
      <c r="C572" s="20" t="str">
        <f t="shared" si="66"/>
        <v/>
      </c>
      <c r="D572" s="20" t="str">
        <f t="shared" si="67"/>
        <v/>
      </c>
      <c r="E572" s="19" t="s">
        <v>21</v>
      </c>
      <c r="F572" s="19" t="s">
        <v>22</v>
      </c>
      <c r="G572" s="4" t="str">
        <f t="shared" si="68"/>
        <v>//2021</v>
      </c>
      <c r="H572" s="19" t="s">
        <v>1</v>
      </c>
      <c r="I572" s="19" t="s">
        <v>0</v>
      </c>
      <c r="L572" s="22" t="e">
        <f>+VLOOKUP(K572,'[2]BASE DE PROVEEDORES'!$A:$B,2,0)</f>
        <v>#N/A</v>
      </c>
      <c r="M572" s="25">
        <v>0</v>
      </c>
      <c r="N572" s="5" t="s">
        <v>2</v>
      </c>
      <c r="O572" s="5" t="s">
        <v>2</v>
      </c>
      <c r="P572" s="6"/>
      <c r="Q572" s="5" t="s">
        <v>2</v>
      </c>
      <c r="R572" s="18" t="s">
        <v>2</v>
      </c>
      <c r="S572" s="18" t="s">
        <v>2</v>
      </c>
      <c r="T572" s="12">
        <f t="shared" si="69"/>
        <v>0</v>
      </c>
      <c r="U572" s="13">
        <f t="shared" si="70"/>
        <v>0</v>
      </c>
      <c r="V572" s="19" t="s">
        <v>3</v>
      </c>
    </row>
    <row r="573" spans="1:22" x14ac:dyDescent="0.25">
      <c r="A573" s="5" t="s">
        <v>487</v>
      </c>
      <c r="C573" s="20" t="str">
        <f t="shared" si="66"/>
        <v/>
      </c>
      <c r="D573" s="20" t="str">
        <f t="shared" si="67"/>
        <v/>
      </c>
      <c r="E573" s="19" t="s">
        <v>21</v>
      </c>
      <c r="F573" s="19" t="s">
        <v>22</v>
      </c>
      <c r="G573" s="4" t="str">
        <f t="shared" si="68"/>
        <v>//2021</v>
      </c>
      <c r="H573" s="19" t="s">
        <v>1</v>
      </c>
      <c r="I573" s="19" t="s">
        <v>0</v>
      </c>
      <c r="L573" s="22" t="e">
        <f>+VLOOKUP(K573,'[2]BASE DE PROVEEDORES'!$A:$B,2,0)</f>
        <v>#N/A</v>
      </c>
      <c r="M573" s="25">
        <v>0</v>
      </c>
      <c r="N573" s="5" t="s">
        <v>2</v>
      </c>
      <c r="O573" s="5" t="s">
        <v>2</v>
      </c>
      <c r="P573" s="6"/>
      <c r="Q573" s="5" t="s">
        <v>2</v>
      </c>
      <c r="R573" s="18" t="s">
        <v>2</v>
      </c>
      <c r="S573" s="18" t="s">
        <v>2</v>
      </c>
      <c r="T573" s="12">
        <f t="shared" si="69"/>
        <v>0</v>
      </c>
      <c r="U573" s="13">
        <f t="shared" si="70"/>
        <v>0</v>
      </c>
      <c r="V573" s="19" t="s">
        <v>3</v>
      </c>
    </row>
    <row r="574" spans="1:22" x14ac:dyDescent="0.25">
      <c r="A574" s="5" t="s">
        <v>487</v>
      </c>
      <c r="C574" s="20" t="str">
        <f t="shared" si="66"/>
        <v/>
      </c>
      <c r="D574" s="20" t="str">
        <f t="shared" si="67"/>
        <v/>
      </c>
      <c r="E574" s="19" t="s">
        <v>21</v>
      </c>
      <c r="F574" s="19" t="s">
        <v>22</v>
      </c>
      <c r="G574" s="4" t="str">
        <f t="shared" si="68"/>
        <v>//2021</v>
      </c>
      <c r="H574" s="19" t="s">
        <v>1</v>
      </c>
      <c r="I574" s="19" t="s">
        <v>0</v>
      </c>
      <c r="L574" s="22" t="e">
        <f>+VLOOKUP(K574,'[2]BASE DE PROVEEDORES'!$A:$B,2,0)</f>
        <v>#N/A</v>
      </c>
      <c r="M574" s="25">
        <v>0</v>
      </c>
      <c r="N574" s="5" t="s">
        <v>2</v>
      </c>
      <c r="O574" s="5" t="s">
        <v>2</v>
      </c>
      <c r="P574" s="6"/>
      <c r="Q574" s="5" t="s">
        <v>2</v>
      </c>
      <c r="R574" s="18" t="s">
        <v>2</v>
      </c>
      <c r="S574" s="18" t="s">
        <v>2</v>
      </c>
      <c r="T574" s="12">
        <f t="shared" si="69"/>
        <v>0</v>
      </c>
      <c r="U574" s="13">
        <f t="shared" si="70"/>
        <v>0</v>
      </c>
      <c r="V574" s="19" t="s">
        <v>3</v>
      </c>
    </row>
    <row r="575" spans="1:22" x14ac:dyDescent="0.25">
      <c r="A575" s="5" t="s">
        <v>487</v>
      </c>
      <c r="C575" s="20" t="str">
        <f t="shared" si="66"/>
        <v/>
      </c>
      <c r="D575" s="20" t="str">
        <f t="shared" si="67"/>
        <v/>
      </c>
      <c r="E575" s="19" t="s">
        <v>21</v>
      </c>
      <c r="F575" s="19" t="s">
        <v>22</v>
      </c>
      <c r="G575" s="4" t="str">
        <f t="shared" si="68"/>
        <v>//2021</v>
      </c>
      <c r="H575" s="19" t="s">
        <v>1</v>
      </c>
      <c r="I575" s="19" t="s">
        <v>0</v>
      </c>
      <c r="L575" s="22" t="e">
        <f>+VLOOKUP(K575,'[2]BASE DE PROVEEDORES'!$A:$B,2,0)</f>
        <v>#N/A</v>
      </c>
      <c r="M575" s="25">
        <v>0</v>
      </c>
      <c r="N575" s="5" t="s">
        <v>2</v>
      </c>
      <c r="O575" s="5" t="s">
        <v>2</v>
      </c>
      <c r="P575" s="6"/>
      <c r="Q575" s="5" t="s">
        <v>2</v>
      </c>
      <c r="R575" s="18" t="s">
        <v>2</v>
      </c>
      <c r="S575" s="18" t="s">
        <v>2</v>
      </c>
      <c r="T575" s="12">
        <f t="shared" si="69"/>
        <v>0</v>
      </c>
      <c r="U575" s="13">
        <f t="shared" si="70"/>
        <v>0</v>
      </c>
      <c r="V575" s="19" t="s">
        <v>3</v>
      </c>
    </row>
    <row r="576" spans="1:22" x14ac:dyDescent="0.25">
      <c r="A576" s="5" t="s">
        <v>487</v>
      </c>
      <c r="C576" s="20" t="str">
        <f t="shared" si="66"/>
        <v/>
      </c>
      <c r="D576" s="20" t="str">
        <f t="shared" si="67"/>
        <v/>
      </c>
      <c r="E576" s="19" t="s">
        <v>21</v>
      </c>
      <c r="F576" s="19" t="s">
        <v>22</v>
      </c>
      <c r="G576" s="4" t="str">
        <f t="shared" si="68"/>
        <v>//2021</v>
      </c>
      <c r="H576" s="19" t="s">
        <v>1</v>
      </c>
      <c r="I576" s="19" t="s">
        <v>0</v>
      </c>
      <c r="L576" s="22" t="e">
        <f>+VLOOKUP(K576,'[2]BASE DE PROVEEDORES'!$A:$B,2,0)</f>
        <v>#N/A</v>
      </c>
      <c r="M576" s="25">
        <v>0</v>
      </c>
      <c r="N576" s="5" t="s">
        <v>2</v>
      </c>
      <c r="O576" s="5" t="s">
        <v>2</v>
      </c>
      <c r="P576" s="6"/>
      <c r="Q576" s="5" t="s">
        <v>2</v>
      </c>
      <c r="R576" s="18" t="s">
        <v>2</v>
      </c>
      <c r="S576" s="18" t="s">
        <v>2</v>
      </c>
      <c r="T576" s="12">
        <f t="shared" si="69"/>
        <v>0</v>
      </c>
      <c r="U576" s="13">
        <f t="shared" si="70"/>
        <v>0</v>
      </c>
      <c r="V576" s="19" t="s">
        <v>3</v>
      </c>
    </row>
    <row r="577" spans="1:22" x14ac:dyDescent="0.25">
      <c r="A577" s="5" t="s">
        <v>487</v>
      </c>
      <c r="C577" s="20" t="str">
        <f t="shared" si="66"/>
        <v/>
      </c>
      <c r="D577" s="20" t="str">
        <f t="shared" si="67"/>
        <v/>
      </c>
      <c r="E577" s="19" t="s">
        <v>21</v>
      </c>
      <c r="F577" s="19" t="s">
        <v>22</v>
      </c>
      <c r="G577" s="4" t="str">
        <f t="shared" si="68"/>
        <v>//2021</v>
      </c>
      <c r="H577" s="19" t="s">
        <v>1</v>
      </c>
      <c r="I577" s="19" t="s">
        <v>0</v>
      </c>
      <c r="L577" s="22" t="e">
        <f>+VLOOKUP(K577,'[2]BASE DE PROVEEDORES'!$A:$B,2,0)</f>
        <v>#N/A</v>
      </c>
      <c r="M577" s="25">
        <v>0</v>
      </c>
      <c r="N577" s="5" t="s">
        <v>2</v>
      </c>
      <c r="O577" s="5" t="s">
        <v>2</v>
      </c>
      <c r="P577" s="6"/>
      <c r="Q577" s="5" t="s">
        <v>2</v>
      </c>
      <c r="R577" s="18" t="s">
        <v>2</v>
      </c>
      <c r="S577" s="18" t="s">
        <v>2</v>
      </c>
      <c r="T577" s="12">
        <f t="shared" si="69"/>
        <v>0</v>
      </c>
      <c r="U577" s="13">
        <f t="shared" si="70"/>
        <v>0</v>
      </c>
      <c r="V577" s="19" t="s">
        <v>3</v>
      </c>
    </row>
    <row r="578" spans="1:22" x14ac:dyDescent="0.25">
      <c r="A578" s="5" t="s">
        <v>487</v>
      </c>
      <c r="C578" s="20" t="str">
        <f t="shared" si="66"/>
        <v/>
      </c>
      <c r="D578" s="20" t="str">
        <f t="shared" si="67"/>
        <v/>
      </c>
      <c r="E578" s="19" t="s">
        <v>21</v>
      </c>
      <c r="F578" s="19" t="s">
        <v>22</v>
      </c>
      <c r="G578" s="4" t="str">
        <f t="shared" si="68"/>
        <v>//2021</v>
      </c>
      <c r="H578" s="19" t="s">
        <v>1</v>
      </c>
      <c r="I578" s="19" t="s">
        <v>0</v>
      </c>
      <c r="L578" s="22" t="e">
        <f>+VLOOKUP(K578,'[2]BASE DE PROVEEDORES'!$A:$B,2,0)</f>
        <v>#N/A</v>
      </c>
      <c r="M578" s="25">
        <v>0</v>
      </c>
      <c r="N578" s="5" t="s">
        <v>2</v>
      </c>
      <c r="O578" s="5" t="s">
        <v>2</v>
      </c>
      <c r="P578" s="6"/>
      <c r="Q578" s="5" t="s">
        <v>2</v>
      </c>
      <c r="R578" s="18" t="s">
        <v>2</v>
      </c>
      <c r="S578" s="18" t="s">
        <v>2</v>
      </c>
      <c r="T578" s="12">
        <f t="shared" si="69"/>
        <v>0</v>
      </c>
      <c r="U578" s="13">
        <f t="shared" si="70"/>
        <v>0</v>
      </c>
      <c r="V578" s="19" t="s">
        <v>3</v>
      </c>
    </row>
    <row r="579" spans="1:22" x14ac:dyDescent="0.25">
      <c r="A579" s="5" t="s">
        <v>487</v>
      </c>
      <c r="C579" s="20" t="str">
        <f t="shared" si="66"/>
        <v/>
      </c>
      <c r="D579" s="20" t="str">
        <f t="shared" si="67"/>
        <v/>
      </c>
      <c r="E579" s="19" t="s">
        <v>21</v>
      </c>
      <c r="F579" s="19" t="s">
        <v>22</v>
      </c>
      <c r="G579" s="4" t="str">
        <f t="shared" si="68"/>
        <v>//2021</v>
      </c>
      <c r="H579" s="19" t="s">
        <v>1</v>
      </c>
      <c r="I579" s="19" t="s">
        <v>0</v>
      </c>
      <c r="L579" s="22" t="e">
        <f>+VLOOKUP(K579,'[2]BASE DE PROVEEDORES'!$A:$B,2,0)</f>
        <v>#N/A</v>
      </c>
      <c r="M579" s="25">
        <v>0</v>
      </c>
      <c r="N579" s="5" t="s">
        <v>2</v>
      </c>
      <c r="O579" s="5" t="s">
        <v>2</v>
      </c>
      <c r="P579" s="6"/>
      <c r="Q579" s="5" t="s">
        <v>2</v>
      </c>
      <c r="R579" s="18" t="s">
        <v>2</v>
      </c>
      <c r="S579" s="18" t="s">
        <v>2</v>
      </c>
      <c r="T579" s="12">
        <f t="shared" si="69"/>
        <v>0</v>
      </c>
      <c r="U579" s="13">
        <f t="shared" si="70"/>
        <v>0</v>
      </c>
      <c r="V579" s="19" t="s">
        <v>3</v>
      </c>
    </row>
    <row r="580" spans="1:22" x14ac:dyDescent="0.25">
      <c r="A580" s="5" t="s">
        <v>487</v>
      </c>
      <c r="C580" s="20" t="str">
        <f t="shared" si="66"/>
        <v/>
      </c>
      <c r="D580" s="20" t="str">
        <f t="shared" si="67"/>
        <v/>
      </c>
      <c r="E580" s="19" t="s">
        <v>21</v>
      </c>
      <c r="F580" s="19" t="s">
        <v>22</v>
      </c>
      <c r="G580" s="4" t="str">
        <f t="shared" si="68"/>
        <v>//2021</v>
      </c>
      <c r="H580" s="19" t="s">
        <v>1</v>
      </c>
      <c r="I580" s="19" t="s">
        <v>0</v>
      </c>
      <c r="L580" s="22" t="e">
        <f>+VLOOKUP(K580,'[2]BASE DE PROVEEDORES'!$A:$B,2,0)</f>
        <v>#N/A</v>
      </c>
      <c r="M580" s="25">
        <v>0</v>
      </c>
      <c r="N580" s="5" t="s">
        <v>2</v>
      </c>
      <c r="O580" s="5" t="s">
        <v>2</v>
      </c>
      <c r="P580" s="6"/>
      <c r="Q580" s="5" t="s">
        <v>2</v>
      </c>
      <c r="R580" s="18" t="s">
        <v>2</v>
      </c>
      <c r="S580" s="18" t="s">
        <v>2</v>
      </c>
      <c r="T580" s="12">
        <f t="shared" si="69"/>
        <v>0</v>
      </c>
      <c r="U580" s="13">
        <f t="shared" si="70"/>
        <v>0</v>
      </c>
      <c r="V580" s="19" t="s">
        <v>3</v>
      </c>
    </row>
    <row r="581" spans="1:22" x14ac:dyDescent="0.25">
      <c r="A581" s="5" t="s">
        <v>487</v>
      </c>
      <c r="C581" s="20" t="str">
        <f t="shared" si="66"/>
        <v/>
      </c>
      <c r="D581" s="20" t="str">
        <f t="shared" si="67"/>
        <v/>
      </c>
      <c r="E581" s="19" t="s">
        <v>21</v>
      </c>
      <c r="F581" s="19" t="s">
        <v>22</v>
      </c>
      <c r="G581" s="4" t="str">
        <f t="shared" si="68"/>
        <v>//2021</v>
      </c>
      <c r="H581" s="19" t="s">
        <v>1</v>
      </c>
      <c r="I581" s="19" t="s">
        <v>0</v>
      </c>
      <c r="L581" s="22" t="e">
        <f>+VLOOKUP(K581,'[2]BASE DE PROVEEDORES'!$A:$B,2,0)</f>
        <v>#N/A</v>
      </c>
      <c r="M581" s="25">
        <v>0</v>
      </c>
      <c r="N581" s="5" t="s">
        <v>2</v>
      </c>
      <c r="O581" s="5" t="s">
        <v>2</v>
      </c>
      <c r="P581" s="6"/>
      <c r="Q581" s="5" t="s">
        <v>2</v>
      </c>
      <c r="R581" s="18" t="s">
        <v>2</v>
      </c>
      <c r="S581" s="18" t="s">
        <v>2</v>
      </c>
      <c r="T581" s="12">
        <f t="shared" si="69"/>
        <v>0</v>
      </c>
      <c r="U581" s="13">
        <f t="shared" si="70"/>
        <v>0</v>
      </c>
      <c r="V581" s="19" t="s">
        <v>3</v>
      </c>
    </row>
    <row r="582" spans="1:22" x14ac:dyDescent="0.25">
      <c r="A582" s="5" t="s">
        <v>487</v>
      </c>
      <c r="C582" s="20" t="str">
        <f t="shared" si="66"/>
        <v/>
      </c>
      <c r="D582" s="20" t="str">
        <f t="shared" si="67"/>
        <v/>
      </c>
      <c r="E582" s="19" t="s">
        <v>21</v>
      </c>
      <c r="F582" s="19" t="s">
        <v>22</v>
      </c>
      <c r="G582" s="4" t="str">
        <f t="shared" si="68"/>
        <v>//2021</v>
      </c>
      <c r="H582" s="19" t="s">
        <v>1</v>
      </c>
      <c r="I582" s="19" t="s">
        <v>0</v>
      </c>
      <c r="L582" s="22" t="e">
        <f>+VLOOKUP(K582,'[2]BASE DE PROVEEDORES'!$A:$B,2,0)</f>
        <v>#N/A</v>
      </c>
      <c r="M582" s="25">
        <v>0</v>
      </c>
      <c r="N582" s="5" t="s">
        <v>2</v>
      </c>
      <c r="O582" s="5" t="s">
        <v>2</v>
      </c>
      <c r="P582" s="6"/>
      <c r="Q582" s="5" t="s">
        <v>2</v>
      </c>
      <c r="R582" s="18" t="s">
        <v>2</v>
      </c>
      <c r="S582" s="18" t="s">
        <v>2</v>
      </c>
      <c r="T582" s="12">
        <f t="shared" si="69"/>
        <v>0</v>
      </c>
      <c r="U582" s="13">
        <f t="shared" si="70"/>
        <v>0</v>
      </c>
      <c r="V582" s="19" t="s">
        <v>3</v>
      </c>
    </row>
    <row r="583" spans="1:22" x14ac:dyDescent="0.25">
      <c r="A583" s="5" t="s">
        <v>487</v>
      </c>
      <c r="C583" s="20" t="str">
        <f t="shared" si="66"/>
        <v/>
      </c>
      <c r="D583" s="20" t="str">
        <f t="shared" si="67"/>
        <v/>
      </c>
      <c r="E583" s="19" t="s">
        <v>21</v>
      </c>
      <c r="F583" s="19" t="s">
        <v>22</v>
      </c>
      <c r="G583" s="4" t="str">
        <f t="shared" si="68"/>
        <v>//2021</v>
      </c>
      <c r="H583" s="19" t="s">
        <v>1</v>
      </c>
      <c r="I583" s="19" t="s">
        <v>0</v>
      </c>
      <c r="L583" s="22" t="e">
        <f>+VLOOKUP(K583,'[2]BASE DE PROVEEDORES'!$A:$B,2,0)</f>
        <v>#N/A</v>
      </c>
      <c r="M583" s="25">
        <v>0</v>
      </c>
      <c r="N583" s="5" t="s">
        <v>2</v>
      </c>
      <c r="O583" s="5" t="s">
        <v>2</v>
      </c>
      <c r="P583" s="6"/>
      <c r="Q583" s="5" t="s">
        <v>2</v>
      </c>
      <c r="R583" s="18" t="s">
        <v>2</v>
      </c>
      <c r="S583" s="18" t="s">
        <v>2</v>
      </c>
      <c r="T583" s="12">
        <f t="shared" si="69"/>
        <v>0</v>
      </c>
      <c r="U583" s="13">
        <f t="shared" si="70"/>
        <v>0</v>
      </c>
      <c r="V583" s="19" t="s">
        <v>3</v>
      </c>
    </row>
    <row r="584" spans="1:22" x14ac:dyDescent="0.25">
      <c r="A584" s="5" t="s">
        <v>487</v>
      </c>
      <c r="C584" s="20" t="str">
        <f t="shared" si="66"/>
        <v/>
      </c>
      <c r="D584" s="20" t="str">
        <f t="shared" si="67"/>
        <v/>
      </c>
      <c r="E584" s="19" t="s">
        <v>21</v>
      </c>
      <c r="F584" s="19" t="s">
        <v>22</v>
      </c>
      <c r="G584" s="4" t="str">
        <f t="shared" si="68"/>
        <v>//2021</v>
      </c>
      <c r="H584" s="19" t="s">
        <v>1</v>
      </c>
      <c r="I584" s="19" t="s">
        <v>0</v>
      </c>
      <c r="L584" s="22" t="e">
        <f>+VLOOKUP(K584,'[2]BASE DE PROVEEDORES'!$A:$B,2,0)</f>
        <v>#N/A</v>
      </c>
      <c r="M584" s="25">
        <v>0</v>
      </c>
      <c r="N584" s="5" t="s">
        <v>2</v>
      </c>
      <c r="O584" s="5" t="s">
        <v>2</v>
      </c>
      <c r="P584" s="6"/>
      <c r="Q584" s="5" t="s">
        <v>2</v>
      </c>
      <c r="R584" s="18" t="s">
        <v>2</v>
      </c>
      <c r="S584" s="18" t="s">
        <v>2</v>
      </c>
      <c r="T584" s="12">
        <f t="shared" si="69"/>
        <v>0</v>
      </c>
      <c r="U584" s="13">
        <f t="shared" si="70"/>
        <v>0</v>
      </c>
      <c r="V584" s="19" t="s">
        <v>3</v>
      </c>
    </row>
    <row r="585" spans="1:22" x14ac:dyDescent="0.25">
      <c r="A585" s="5" t="s">
        <v>487</v>
      </c>
      <c r="C585" s="20" t="str">
        <f t="shared" si="66"/>
        <v/>
      </c>
      <c r="D585" s="20" t="str">
        <f t="shared" si="67"/>
        <v/>
      </c>
      <c r="E585" s="19" t="s">
        <v>21</v>
      </c>
      <c r="F585" s="19" t="s">
        <v>22</v>
      </c>
      <c r="G585" s="4" t="str">
        <f t="shared" si="68"/>
        <v>//2021</v>
      </c>
      <c r="H585" s="19" t="s">
        <v>1</v>
      </c>
      <c r="I585" s="19" t="s">
        <v>0</v>
      </c>
      <c r="L585" s="22" t="e">
        <f>+VLOOKUP(K585,'[2]BASE DE PROVEEDORES'!$A:$B,2,0)</f>
        <v>#N/A</v>
      </c>
      <c r="M585" s="25">
        <v>0</v>
      </c>
      <c r="N585" s="5" t="s">
        <v>2</v>
      </c>
      <c r="O585" s="5" t="s">
        <v>2</v>
      </c>
      <c r="P585" s="6"/>
      <c r="Q585" s="5" t="s">
        <v>2</v>
      </c>
      <c r="R585" s="18" t="s">
        <v>2</v>
      </c>
      <c r="S585" s="18" t="s">
        <v>2</v>
      </c>
      <c r="T585" s="12">
        <f t="shared" si="69"/>
        <v>0</v>
      </c>
      <c r="U585" s="13">
        <f t="shared" si="70"/>
        <v>0</v>
      </c>
      <c r="V585" s="19" t="s">
        <v>3</v>
      </c>
    </row>
    <row r="586" spans="1:22" x14ac:dyDescent="0.25">
      <c r="A586" s="5" t="s">
        <v>487</v>
      </c>
      <c r="C586" s="20" t="str">
        <f t="shared" si="66"/>
        <v/>
      </c>
      <c r="D586" s="20" t="str">
        <f t="shared" si="67"/>
        <v/>
      </c>
      <c r="E586" s="19" t="s">
        <v>21</v>
      </c>
      <c r="F586" s="19" t="s">
        <v>22</v>
      </c>
      <c r="G586" s="4" t="str">
        <f t="shared" si="68"/>
        <v>//2021</v>
      </c>
      <c r="H586" s="19" t="s">
        <v>1</v>
      </c>
      <c r="I586" s="19" t="s">
        <v>0</v>
      </c>
      <c r="L586" s="22" t="e">
        <f>+VLOOKUP(K586,'[2]BASE DE PROVEEDORES'!$A:$B,2,0)</f>
        <v>#N/A</v>
      </c>
      <c r="M586" s="25">
        <v>0</v>
      </c>
      <c r="N586" s="5" t="s">
        <v>2</v>
      </c>
      <c r="O586" s="5" t="s">
        <v>2</v>
      </c>
      <c r="P586" s="6"/>
      <c r="Q586" s="5" t="s">
        <v>2</v>
      </c>
      <c r="R586" s="18" t="s">
        <v>2</v>
      </c>
      <c r="S586" s="18" t="s">
        <v>2</v>
      </c>
      <c r="T586" s="12">
        <f t="shared" si="69"/>
        <v>0</v>
      </c>
      <c r="U586" s="13">
        <f t="shared" si="70"/>
        <v>0</v>
      </c>
      <c r="V586" s="19" t="s">
        <v>3</v>
      </c>
    </row>
    <row r="587" spans="1:22" x14ac:dyDescent="0.25">
      <c r="A587" s="5" t="s">
        <v>487</v>
      </c>
      <c r="C587" s="20" t="str">
        <f t="shared" si="66"/>
        <v/>
      </c>
      <c r="D587" s="20" t="str">
        <f t="shared" si="67"/>
        <v/>
      </c>
      <c r="E587" s="19" t="s">
        <v>21</v>
      </c>
      <c r="F587" s="19" t="s">
        <v>22</v>
      </c>
      <c r="G587" s="4" t="str">
        <f t="shared" si="68"/>
        <v>//2021</v>
      </c>
      <c r="H587" s="19" t="s">
        <v>1</v>
      </c>
      <c r="I587" s="19" t="s">
        <v>0</v>
      </c>
      <c r="L587" s="22" t="e">
        <f>+VLOOKUP(K587,'[2]BASE DE PROVEEDORES'!$A:$B,2,0)</f>
        <v>#N/A</v>
      </c>
      <c r="M587" s="25">
        <v>0</v>
      </c>
      <c r="N587" s="5" t="s">
        <v>2</v>
      </c>
      <c r="O587" s="5" t="s">
        <v>2</v>
      </c>
      <c r="P587" s="6"/>
      <c r="Q587" s="5" t="s">
        <v>2</v>
      </c>
      <c r="R587" s="18" t="s">
        <v>2</v>
      </c>
      <c r="S587" s="18" t="s">
        <v>2</v>
      </c>
      <c r="T587" s="12">
        <f t="shared" si="69"/>
        <v>0</v>
      </c>
      <c r="U587" s="13">
        <f t="shared" si="70"/>
        <v>0</v>
      </c>
      <c r="V587" s="19" t="s">
        <v>3</v>
      </c>
    </row>
    <row r="588" spans="1:22" x14ac:dyDescent="0.25">
      <c r="A588" s="5" t="s">
        <v>487</v>
      </c>
      <c r="C588" s="20" t="str">
        <f t="shared" si="66"/>
        <v/>
      </c>
      <c r="D588" s="20" t="str">
        <f t="shared" si="67"/>
        <v/>
      </c>
      <c r="E588" s="19" t="s">
        <v>21</v>
      </c>
      <c r="F588" s="19" t="s">
        <v>22</v>
      </c>
      <c r="G588" s="4" t="str">
        <f t="shared" si="68"/>
        <v>//2021</v>
      </c>
      <c r="H588" s="19" t="s">
        <v>1</v>
      </c>
      <c r="I588" s="19" t="s">
        <v>0</v>
      </c>
      <c r="L588" s="22" t="e">
        <f>+VLOOKUP(K588,'[2]BASE DE PROVEEDORES'!$A:$B,2,0)</f>
        <v>#N/A</v>
      </c>
      <c r="M588" s="25">
        <v>0</v>
      </c>
      <c r="N588" s="5" t="s">
        <v>2</v>
      </c>
      <c r="O588" s="5" t="s">
        <v>2</v>
      </c>
      <c r="P588" s="6"/>
      <c r="Q588" s="5" t="s">
        <v>2</v>
      </c>
      <c r="R588" s="18" t="s">
        <v>2</v>
      </c>
      <c r="S588" s="18" t="s">
        <v>2</v>
      </c>
      <c r="T588" s="12">
        <f t="shared" si="69"/>
        <v>0</v>
      </c>
      <c r="U588" s="13">
        <f t="shared" si="70"/>
        <v>0</v>
      </c>
      <c r="V588" s="19" t="s">
        <v>3</v>
      </c>
    </row>
    <row r="589" spans="1:22" x14ac:dyDescent="0.25">
      <c r="A589" s="5" t="s">
        <v>487</v>
      </c>
      <c r="C589" s="20" t="str">
        <f t="shared" si="66"/>
        <v/>
      </c>
      <c r="D589" s="20" t="str">
        <f t="shared" si="67"/>
        <v/>
      </c>
      <c r="E589" s="19" t="s">
        <v>21</v>
      </c>
      <c r="F589" s="19" t="s">
        <v>22</v>
      </c>
      <c r="G589" s="4" t="str">
        <f t="shared" si="68"/>
        <v>//2021</v>
      </c>
      <c r="H589" s="19" t="s">
        <v>1</v>
      </c>
      <c r="I589" s="19" t="s">
        <v>0</v>
      </c>
      <c r="L589" s="22" t="e">
        <f>+VLOOKUP(K589,'[2]BASE DE PROVEEDORES'!$A:$B,2,0)</f>
        <v>#N/A</v>
      </c>
      <c r="M589" s="25">
        <v>0</v>
      </c>
      <c r="N589" s="5" t="s">
        <v>2</v>
      </c>
      <c r="O589" s="5" t="s">
        <v>2</v>
      </c>
      <c r="P589" s="6"/>
      <c r="Q589" s="5" t="s">
        <v>2</v>
      </c>
      <c r="R589" s="18" t="s">
        <v>2</v>
      </c>
      <c r="S589" s="18" t="s">
        <v>2</v>
      </c>
      <c r="T589" s="12">
        <f t="shared" si="69"/>
        <v>0</v>
      </c>
      <c r="U589" s="13">
        <f t="shared" si="70"/>
        <v>0</v>
      </c>
      <c r="V589" s="19" t="s">
        <v>3</v>
      </c>
    </row>
    <row r="590" spans="1:22" x14ac:dyDescent="0.25">
      <c r="A590" s="5" t="s">
        <v>487</v>
      </c>
      <c r="C590" s="20" t="str">
        <f t="shared" si="66"/>
        <v/>
      </c>
      <c r="D590" s="20" t="str">
        <f t="shared" si="67"/>
        <v/>
      </c>
      <c r="E590" s="19" t="s">
        <v>21</v>
      </c>
      <c r="F590" s="19" t="s">
        <v>22</v>
      </c>
      <c r="G590" s="4" t="str">
        <f t="shared" si="68"/>
        <v>//2021</v>
      </c>
      <c r="H590" s="19" t="s">
        <v>1</v>
      </c>
      <c r="I590" s="19" t="s">
        <v>0</v>
      </c>
      <c r="L590" s="22" t="e">
        <f>+VLOOKUP(K590,'[2]BASE DE PROVEEDORES'!$A:$B,2,0)</f>
        <v>#N/A</v>
      </c>
      <c r="M590" s="25">
        <v>0</v>
      </c>
      <c r="N590" s="5" t="s">
        <v>2</v>
      </c>
      <c r="O590" s="5" t="s">
        <v>2</v>
      </c>
      <c r="P590" s="6"/>
      <c r="Q590" s="5" t="s">
        <v>2</v>
      </c>
      <c r="R590" s="18" t="s">
        <v>2</v>
      </c>
      <c r="S590" s="18" t="s">
        <v>2</v>
      </c>
      <c r="T590" s="12">
        <f t="shared" si="69"/>
        <v>0</v>
      </c>
      <c r="U590" s="13">
        <f t="shared" si="70"/>
        <v>0</v>
      </c>
      <c r="V590" s="19" t="s">
        <v>3</v>
      </c>
    </row>
    <row r="591" spans="1:22" x14ac:dyDescent="0.25">
      <c r="A591" s="5" t="s">
        <v>487</v>
      </c>
      <c r="C591" s="20" t="str">
        <f t="shared" si="66"/>
        <v/>
      </c>
      <c r="D591" s="20" t="str">
        <f t="shared" si="67"/>
        <v/>
      </c>
      <c r="E591" s="19" t="s">
        <v>21</v>
      </c>
      <c r="F591" s="19" t="s">
        <v>22</v>
      </c>
      <c r="G591" s="4" t="str">
        <f t="shared" si="68"/>
        <v>//2021</v>
      </c>
      <c r="H591" s="19" t="s">
        <v>1</v>
      </c>
      <c r="I591" s="19" t="s">
        <v>0</v>
      </c>
      <c r="L591" s="22" t="e">
        <f>+VLOOKUP(K591,'[2]BASE DE PROVEEDORES'!$A:$B,2,0)</f>
        <v>#N/A</v>
      </c>
      <c r="M591" s="25">
        <v>0</v>
      </c>
      <c r="N591" s="5" t="s">
        <v>2</v>
      </c>
      <c r="O591" s="5" t="s">
        <v>2</v>
      </c>
      <c r="P591" s="6"/>
      <c r="Q591" s="5" t="s">
        <v>2</v>
      </c>
      <c r="R591" s="18" t="s">
        <v>2</v>
      </c>
      <c r="S591" s="18" t="s">
        <v>2</v>
      </c>
      <c r="T591" s="12">
        <f t="shared" si="69"/>
        <v>0</v>
      </c>
      <c r="U591" s="13">
        <f t="shared" si="70"/>
        <v>0</v>
      </c>
      <c r="V591" s="19" t="s">
        <v>3</v>
      </c>
    </row>
    <row r="592" spans="1:22" x14ac:dyDescent="0.25">
      <c r="A592" s="5" t="s">
        <v>487</v>
      </c>
      <c r="C592" s="20" t="str">
        <f t="shared" si="66"/>
        <v/>
      </c>
      <c r="D592" s="20" t="str">
        <f t="shared" si="67"/>
        <v/>
      </c>
      <c r="E592" s="19" t="s">
        <v>21</v>
      </c>
      <c r="F592" s="19" t="s">
        <v>22</v>
      </c>
      <c r="G592" s="4" t="str">
        <f t="shared" si="68"/>
        <v>//2021</v>
      </c>
      <c r="H592" s="19" t="s">
        <v>1</v>
      </c>
      <c r="I592" s="19" t="s">
        <v>0</v>
      </c>
      <c r="L592" s="22" t="e">
        <f>+VLOOKUP(K592,'[2]BASE DE PROVEEDORES'!$A:$B,2,0)</f>
        <v>#N/A</v>
      </c>
      <c r="M592" s="25">
        <v>0</v>
      </c>
      <c r="N592" s="5" t="s">
        <v>2</v>
      </c>
      <c r="O592" s="5" t="s">
        <v>2</v>
      </c>
      <c r="P592" s="6"/>
      <c r="Q592" s="5" t="s">
        <v>2</v>
      </c>
      <c r="R592" s="18" t="s">
        <v>2</v>
      </c>
      <c r="S592" s="18" t="s">
        <v>2</v>
      </c>
      <c r="T592" s="12">
        <f t="shared" si="69"/>
        <v>0</v>
      </c>
      <c r="U592" s="13">
        <f t="shared" si="70"/>
        <v>0</v>
      </c>
      <c r="V592" s="19" t="s">
        <v>3</v>
      </c>
    </row>
    <row r="593" spans="1:22" x14ac:dyDescent="0.25">
      <c r="A593" s="5" t="s">
        <v>487</v>
      </c>
      <c r="C593" s="20" t="str">
        <f t="shared" si="66"/>
        <v/>
      </c>
      <c r="D593" s="20" t="str">
        <f t="shared" si="67"/>
        <v/>
      </c>
      <c r="E593" s="19" t="s">
        <v>21</v>
      </c>
      <c r="F593" s="19" t="s">
        <v>22</v>
      </c>
      <c r="G593" s="4" t="str">
        <f t="shared" si="68"/>
        <v>//2021</v>
      </c>
      <c r="H593" s="19" t="s">
        <v>1</v>
      </c>
      <c r="I593" s="19" t="s">
        <v>0</v>
      </c>
      <c r="L593" s="22" t="e">
        <f>+VLOOKUP(K593,'[2]BASE DE PROVEEDORES'!$A:$B,2,0)</f>
        <v>#N/A</v>
      </c>
      <c r="M593" s="25">
        <v>0</v>
      </c>
      <c r="N593" s="5" t="s">
        <v>2</v>
      </c>
      <c r="O593" s="5" t="s">
        <v>2</v>
      </c>
      <c r="P593" s="6"/>
      <c r="Q593" s="5" t="s">
        <v>2</v>
      </c>
      <c r="R593" s="18" t="s">
        <v>2</v>
      </c>
      <c r="S593" s="18" t="s">
        <v>2</v>
      </c>
      <c r="T593" s="12">
        <f t="shared" si="69"/>
        <v>0</v>
      </c>
      <c r="U593" s="13">
        <f t="shared" si="70"/>
        <v>0</v>
      </c>
      <c r="V593" s="19" t="s">
        <v>3</v>
      </c>
    </row>
    <row r="594" spans="1:22" x14ac:dyDescent="0.25">
      <c r="A594" s="5" t="s">
        <v>487</v>
      </c>
      <c r="C594" s="20" t="str">
        <f t="shared" si="66"/>
        <v/>
      </c>
      <c r="D594" s="20" t="str">
        <f t="shared" si="67"/>
        <v/>
      </c>
      <c r="E594" s="19" t="s">
        <v>21</v>
      </c>
      <c r="F594" s="19" t="s">
        <v>22</v>
      </c>
      <c r="G594" s="4" t="str">
        <f t="shared" si="68"/>
        <v>//2021</v>
      </c>
      <c r="H594" s="19" t="s">
        <v>1</v>
      </c>
      <c r="I594" s="19" t="s">
        <v>0</v>
      </c>
      <c r="L594" s="22" t="e">
        <f>+VLOOKUP(K594,'[2]BASE DE PROVEEDORES'!$A:$B,2,0)</f>
        <v>#N/A</v>
      </c>
      <c r="M594" s="25">
        <v>0</v>
      </c>
      <c r="N594" s="5" t="s">
        <v>2</v>
      </c>
      <c r="O594" s="5" t="s">
        <v>2</v>
      </c>
      <c r="P594" s="6"/>
      <c r="Q594" s="5" t="s">
        <v>2</v>
      </c>
      <c r="R594" s="18" t="s">
        <v>2</v>
      </c>
      <c r="S594" s="18" t="s">
        <v>2</v>
      </c>
      <c r="T594" s="12">
        <f t="shared" si="69"/>
        <v>0</v>
      </c>
      <c r="U594" s="13">
        <f t="shared" si="70"/>
        <v>0</v>
      </c>
      <c r="V594" s="19" t="s">
        <v>3</v>
      </c>
    </row>
    <row r="595" spans="1:22" x14ac:dyDescent="0.25">
      <c r="A595" s="5" t="s">
        <v>487</v>
      </c>
      <c r="C595" s="20" t="str">
        <f t="shared" si="66"/>
        <v/>
      </c>
      <c r="D595" s="20" t="str">
        <f t="shared" si="67"/>
        <v/>
      </c>
      <c r="E595" s="19" t="s">
        <v>21</v>
      </c>
      <c r="F595" s="19" t="s">
        <v>22</v>
      </c>
      <c r="G595" s="4" t="str">
        <f t="shared" si="68"/>
        <v>//2021</v>
      </c>
      <c r="H595" s="19" t="s">
        <v>1</v>
      </c>
      <c r="I595" s="19" t="s">
        <v>0</v>
      </c>
      <c r="L595" s="22" t="e">
        <f>+VLOOKUP(K595,'[2]BASE DE PROVEEDORES'!$A:$B,2,0)</f>
        <v>#N/A</v>
      </c>
      <c r="M595" s="25">
        <v>0</v>
      </c>
      <c r="N595" s="5" t="s">
        <v>2</v>
      </c>
      <c r="O595" s="5" t="s">
        <v>2</v>
      </c>
      <c r="P595" s="6"/>
      <c r="Q595" s="5" t="s">
        <v>2</v>
      </c>
      <c r="R595" s="18" t="s">
        <v>2</v>
      </c>
      <c r="S595" s="18" t="s">
        <v>2</v>
      </c>
      <c r="T595" s="12">
        <f t="shared" si="69"/>
        <v>0</v>
      </c>
      <c r="U595" s="13">
        <f t="shared" si="70"/>
        <v>0</v>
      </c>
      <c r="V595" s="19" t="s">
        <v>3</v>
      </c>
    </row>
    <row r="596" spans="1:22" x14ac:dyDescent="0.25">
      <c r="A596" s="5" t="s">
        <v>487</v>
      </c>
      <c r="C596" s="20" t="str">
        <f t="shared" si="66"/>
        <v/>
      </c>
      <c r="D596" s="20" t="str">
        <f t="shared" si="67"/>
        <v/>
      </c>
      <c r="E596" s="19" t="s">
        <v>21</v>
      </c>
      <c r="F596" s="19" t="s">
        <v>22</v>
      </c>
      <c r="G596" s="4" t="str">
        <f t="shared" si="68"/>
        <v>//2021</v>
      </c>
      <c r="H596" s="19" t="s">
        <v>1</v>
      </c>
      <c r="I596" s="19" t="s">
        <v>0</v>
      </c>
      <c r="L596" s="22" t="e">
        <f>+VLOOKUP(K596,'[2]BASE DE PROVEEDORES'!$A:$B,2,0)</f>
        <v>#N/A</v>
      </c>
      <c r="M596" s="25">
        <v>0</v>
      </c>
      <c r="N596" s="5" t="s">
        <v>2</v>
      </c>
      <c r="O596" s="5" t="s">
        <v>2</v>
      </c>
      <c r="P596" s="6"/>
      <c r="Q596" s="5" t="s">
        <v>2</v>
      </c>
      <c r="R596" s="18" t="s">
        <v>2</v>
      </c>
      <c r="S596" s="18" t="s">
        <v>2</v>
      </c>
      <c r="T596" s="12">
        <f t="shared" si="69"/>
        <v>0</v>
      </c>
      <c r="U596" s="13">
        <f t="shared" si="70"/>
        <v>0</v>
      </c>
      <c r="V596" s="19" t="s">
        <v>3</v>
      </c>
    </row>
    <row r="597" spans="1:22" x14ac:dyDescent="0.25">
      <c r="A597" s="5" t="s">
        <v>487</v>
      </c>
      <c r="C597" s="20" t="str">
        <f t="shared" si="66"/>
        <v/>
      </c>
      <c r="D597" s="20" t="str">
        <f t="shared" si="67"/>
        <v/>
      </c>
      <c r="E597" s="19" t="s">
        <v>21</v>
      </c>
      <c r="F597" s="19" t="s">
        <v>22</v>
      </c>
      <c r="G597" s="4" t="str">
        <f t="shared" si="68"/>
        <v>//2021</v>
      </c>
      <c r="H597" s="19" t="s">
        <v>1</v>
      </c>
      <c r="I597" s="19" t="s">
        <v>0</v>
      </c>
      <c r="L597" s="22" t="e">
        <f>+VLOOKUP(K597,'[2]BASE DE PROVEEDORES'!$A:$B,2,0)</f>
        <v>#N/A</v>
      </c>
      <c r="M597" s="25">
        <v>0</v>
      </c>
      <c r="N597" s="5" t="s">
        <v>2</v>
      </c>
      <c r="O597" s="5" t="s">
        <v>2</v>
      </c>
      <c r="P597" s="6"/>
      <c r="Q597" s="5" t="s">
        <v>2</v>
      </c>
      <c r="R597" s="18" t="s">
        <v>2</v>
      </c>
      <c r="S597" s="18" t="s">
        <v>2</v>
      </c>
      <c r="T597" s="12">
        <f t="shared" si="69"/>
        <v>0</v>
      </c>
      <c r="U597" s="13">
        <f t="shared" si="70"/>
        <v>0</v>
      </c>
      <c r="V597" s="19" t="s">
        <v>3</v>
      </c>
    </row>
    <row r="598" spans="1:22" x14ac:dyDescent="0.25">
      <c r="A598" s="5" t="s">
        <v>487</v>
      </c>
      <c r="C598" s="20" t="str">
        <f t="shared" si="66"/>
        <v/>
      </c>
      <c r="D598" s="20" t="str">
        <f t="shared" si="67"/>
        <v/>
      </c>
      <c r="E598" s="19" t="s">
        <v>21</v>
      </c>
      <c r="F598" s="19" t="s">
        <v>22</v>
      </c>
      <c r="G598" s="4" t="str">
        <f t="shared" si="68"/>
        <v>//2021</v>
      </c>
      <c r="H598" s="19" t="s">
        <v>1</v>
      </c>
      <c r="I598" s="19" t="s">
        <v>0</v>
      </c>
      <c r="L598" s="22" t="e">
        <f>+VLOOKUP(K598,'[2]BASE DE PROVEEDORES'!$A:$B,2,0)</f>
        <v>#N/A</v>
      </c>
      <c r="M598" s="25">
        <v>0</v>
      </c>
      <c r="N598" s="5" t="s">
        <v>2</v>
      </c>
      <c r="O598" s="5" t="s">
        <v>2</v>
      </c>
      <c r="P598" s="6"/>
      <c r="Q598" s="5" t="s">
        <v>2</v>
      </c>
      <c r="R598" s="18" t="s">
        <v>2</v>
      </c>
      <c r="S598" s="18" t="s">
        <v>2</v>
      </c>
      <c r="T598" s="12">
        <f t="shared" si="69"/>
        <v>0</v>
      </c>
      <c r="U598" s="13">
        <f t="shared" si="70"/>
        <v>0</v>
      </c>
      <c r="V598" s="19" t="s">
        <v>3</v>
      </c>
    </row>
    <row r="599" spans="1:22" x14ac:dyDescent="0.25">
      <c r="A599" s="5" t="s">
        <v>487</v>
      </c>
      <c r="C599" s="20" t="str">
        <f t="shared" si="66"/>
        <v/>
      </c>
      <c r="D599" s="20" t="str">
        <f t="shared" si="67"/>
        <v/>
      </c>
      <c r="E599" s="19" t="s">
        <v>21</v>
      </c>
      <c r="F599" s="19" t="s">
        <v>22</v>
      </c>
      <c r="G599" s="4" t="str">
        <f t="shared" si="68"/>
        <v>//2021</v>
      </c>
      <c r="H599" s="19" t="s">
        <v>1</v>
      </c>
      <c r="I599" s="19" t="s">
        <v>0</v>
      </c>
      <c r="L599" s="22" t="e">
        <f>+VLOOKUP(K599,'[2]BASE DE PROVEEDORES'!$A:$B,2,0)</f>
        <v>#N/A</v>
      </c>
      <c r="M599" s="25">
        <v>0</v>
      </c>
      <c r="N599" s="5" t="s">
        <v>2</v>
      </c>
      <c r="O599" s="5" t="s">
        <v>2</v>
      </c>
      <c r="P599" s="6"/>
      <c r="Q599" s="5" t="s">
        <v>2</v>
      </c>
      <c r="R599" s="18" t="s">
        <v>2</v>
      </c>
      <c r="S599" s="18" t="s">
        <v>2</v>
      </c>
      <c r="T599" s="12">
        <f t="shared" si="69"/>
        <v>0</v>
      </c>
      <c r="U599" s="13">
        <f t="shared" si="70"/>
        <v>0</v>
      </c>
      <c r="V599" s="19" t="s">
        <v>3</v>
      </c>
    </row>
    <row r="600" spans="1:22" x14ac:dyDescent="0.25">
      <c r="A600" s="5" t="s">
        <v>487</v>
      </c>
      <c r="C600" s="20" t="str">
        <f t="shared" si="66"/>
        <v/>
      </c>
      <c r="D600" s="20" t="str">
        <f t="shared" si="67"/>
        <v/>
      </c>
      <c r="E600" s="19" t="s">
        <v>21</v>
      </c>
      <c r="F600" s="19" t="s">
        <v>22</v>
      </c>
      <c r="G600" s="4" t="str">
        <f t="shared" si="68"/>
        <v>//2021</v>
      </c>
      <c r="H600" s="19" t="s">
        <v>1</v>
      </c>
      <c r="I600" s="19" t="s">
        <v>0</v>
      </c>
      <c r="L600" s="22" t="e">
        <f>+VLOOKUP(K600,'[2]BASE DE PROVEEDORES'!$A:$B,2,0)</f>
        <v>#N/A</v>
      </c>
      <c r="M600" s="25">
        <v>0</v>
      </c>
      <c r="N600" s="5" t="s">
        <v>2</v>
      </c>
      <c r="O600" s="5" t="s">
        <v>2</v>
      </c>
      <c r="P600" s="6"/>
      <c r="Q600" s="5" t="s">
        <v>2</v>
      </c>
      <c r="R600" s="18" t="s">
        <v>2</v>
      </c>
      <c r="S600" s="18" t="s">
        <v>2</v>
      </c>
      <c r="T600" s="12">
        <f t="shared" si="69"/>
        <v>0</v>
      </c>
      <c r="U600" s="13">
        <f t="shared" si="70"/>
        <v>0</v>
      </c>
      <c r="V600" s="19" t="s">
        <v>3</v>
      </c>
    </row>
    <row r="601" spans="1:22" x14ac:dyDescent="0.25">
      <c r="A601" s="5" t="s">
        <v>487</v>
      </c>
      <c r="C601" s="20" t="str">
        <f t="shared" si="66"/>
        <v/>
      </c>
      <c r="D601" s="20" t="str">
        <f t="shared" si="67"/>
        <v/>
      </c>
      <c r="E601" s="19" t="s">
        <v>21</v>
      </c>
      <c r="F601" s="19" t="s">
        <v>22</v>
      </c>
      <c r="G601" s="4" t="str">
        <f t="shared" si="68"/>
        <v>//2021</v>
      </c>
      <c r="H601" s="19" t="s">
        <v>1</v>
      </c>
      <c r="I601" s="19" t="s">
        <v>0</v>
      </c>
      <c r="L601" s="22" t="e">
        <f>+VLOOKUP(K601,'[2]BASE DE PROVEEDORES'!$A:$B,2,0)</f>
        <v>#N/A</v>
      </c>
      <c r="M601" s="25">
        <v>0</v>
      </c>
      <c r="N601" s="5" t="s">
        <v>2</v>
      </c>
      <c r="O601" s="5" t="s">
        <v>2</v>
      </c>
      <c r="P601" s="6"/>
      <c r="Q601" s="5" t="s">
        <v>2</v>
      </c>
      <c r="R601" s="18" t="s">
        <v>2</v>
      </c>
      <c r="S601" s="18" t="s">
        <v>2</v>
      </c>
      <c r="T601" s="12">
        <f t="shared" si="69"/>
        <v>0</v>
      </c>
      <c r="U601" s="13">
        <f t="shared" si="70"/>
        <v>0</v>
      </c>
      <c r="V601" s="19" t="s">
        <v>3</v>
      </c>
    </row>
  </sheetData>
  <autoFilter ref="A1:X601">
    <filterColumn colId="0">
      <filters>
        <filter val="JUNIO"/>
      </filters>
    </filterColumn>
    <sortState ref="A131:X394">
      <sortCondition ref="D1:D394"/>
    </sortState>
  </autoFilter>
  <conditionalFormatting sqref="J1:J1048576">
    <cfRule type="duplicateValues" dxfId="0" priority="1"/>
  </conditionalFormatting>
  <pageMargins left="0.7" right="0.7" top="0.75" bottom="0.75" header="0.3" footer="0.3"/>
  <pageSetup scale="69" orientation="landscape" horizontalDpi="4294967294" r:id="rId1"/>
  <rowBreaks count="1" manualBreakCount="1">
    <brk id="45" max="2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cp:lastPrinted>2021-05-12T21:36:15Z</cp:lastPrinted>
  <dcterms:created xsi:type="dcterms:W3CDTF">2021-04-05T22:54:25Z</dcterms:created>
  <dcterms:modified xsi:type="dcterms:W3CDTF">2021-07-12T18:49:19Z</dcterms:modified>
</cp:coreProperties>
</file>