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Quique/Google Drive/AXON/Proyectos/Corredor Interoceanico/Actualizacion Factibilidad/Informacion de Apoyo/Datos/"/>
    </mc:Choice>
  </mc:AlternateContent>
  <bookViews>
    <workbookView xWindow="5940" yWindow="7060" windowWidth="27360" windowHeight="158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I2" i="1"/>
  <c r="B2" i="1"/>
  <c r="J2" i="1"/>
  <c r="I3" i="1"/>
  <c r="B3" i="1"/>
  <c r="J3" i="1"/>
  <c r="J4" i="1"/>
  <c r="J5" i="1"/>
  <c r="I6" i="1"/>
  <c r="J6" i="1"/>
  <c r="J7" i="1"/>
  <c r="K8" i="1"/>
  <c r="K7" i="1"/>
  <c r="K6" i="1"/>
  <c r="K5" i="1"/>
  <c r="K4" i="1"/>
  <c r="K3" i="1"/>
  <c r="K2" i="1"/>
  <c r="N2" i="1"/>
  <c r="M2" i="1"/>
  <c r="O2" i="1"/>
  <c r="N3" i="1"/>
  <c r="M3" i="1"/>
  <c r="O3" i="1"/>
  <c r="M4" i="1"/>
  <c r="O4" i="1"/>
  <c r="M5" i="1"/>
  <c r="O5" i="1"/>
  <c r="M6" i="1"/>
  <c r="O6" i="1"/>
  <c r="P2" i="1"/>
  <c r="P8" i="1"/>
  <c r="P7" i="1"/>
  <c r="P6" i="1"/>
  <c r="P5" i="1"/>
  <c r="P4" i="1"/>
  <c r="P3" i="1"/>
  <c r="H6" i="1"/>
  <c r="H3" i="1"/>
  <c r="H2" i="1"/>
  <c r="G6" i="1"/>
  <c r="G3" i="1"/>
  <c r="G2" i="1"/>
  <c r="F5" i="1"/>
  <c r="F3" i="1"/>
  <c r="F2" i="1"/>
  <c r="E5" i="1"/>
  <c r="E3" i="1"/>
  <c r="E2" i="1"/>
  <c r="D5" i="1"/>
  <c r="D4" i="1"/>
  <c r="D3" i="1"/>
  <c r="D2" i="1"/>
  <c r="C3" i="1"/>
  <c r="C2" i="1"/>
</calcChain>
</file>

<file path=xl/sharedStrings.xml><?xml version="1.0" encoding="utf-8"?>
<sst xmlns="http://schemas.openxmlformats.org/spreadsheetml/2006/main" count="20" uniqueCount="16">
  <si>
    <t>Rango - TEUS</t>
  </si>
  <si>
    <t>Rango - TEUS2</t>
  </si>
  <si>
    <t>4,000 - 7,500</t>
  </si>
  <si>
    <t>7,500 - 10,500</t>
  </si>
  <si>
    <t>10,500 - 13,300</t>
  </si>
  <si>
    <t>13,300 - 15,500</t>
  </si>
  <si>
    <t>15,500 - 18,800</t>
  </si>
  <si>
    <t>2012</t>
  </si>
  <si>
    <t>Dif17</t>
  </si>
  <si>
    <t>Dif15</t>
  </si>
  <si>
    <t>PorDif15</t>
  </si>
  <si>
    <t>20152</t>
  </si>
  <si>
    <t>PorDif17</t>
  </si>
  <si>
    <t>&lt; 4,000</t>
  </si>
  <si>
    <t>&gt; 19,100</t>
  </si>
  <si>
    <t>&gt; 13,300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</si>
</sst>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L7" sqref="L7"/>
    </sheetView>
  </sheetViews>
  <sheetFormatPr baseColWidth="10" defaultRowHeight="16" x14ac:dyDescent="0.2"/>
  <cols>
    <col min="1" max="1" width="13.6640625" bestFit="1" customWidth="1"/>
    <col min="10" max="10" width="13.33203125" bestFit="1" customWidth="1"/>
    <col min="11" max="11" width="13.33203125" customWidth="1"/>
    <col min="12" max="12" width="13.6640625" bestFit="1" customWidth="1"/>
    <col min="13" max="13" width="13" bestFit="1" customWidth="1"/>
    <col min="14" max="14" width="11.33203125" bestFit="1" customWidth="1"/>
  </cols>
  <sheetData>
    <row r="1" spans="1:16" s="1" customFormat="1" x14ac:dyDescent="0.2">
      <c r="A1" s="1" t="s">
        <v>0</v>
      </c>
      <c r="B1" s="1">
        <v>2008</v>
      </c>
      <c r="C1" s="1">
        <v>2009</v>
      </c>
      <c r="D1" s="1">
        <v>2010</v>
      </c>
      <c r="E1" s="1">
        <v>2011</v>
      </c>
      <c r="F1" s="1" t="s">
        <v>7</v>
      </c>
      <c r="G1" s="1">
        <v>2013</v>
      </c>
      <c r="H1" s="1">
        <v>2014</v>
      </c>
      <c r="I1" s="1">
        <v>2015</v>
      </c>
      <c r="J1" s="1" t="s">
        <v>9</v>
      </c>
      <c r="K1" s="1" t="s">
        <v>10</v>
      </c>
      <c r="L1" s="1" t="s">
        <v>1</v>
      </c>
      <c r="M1" s="1" t="s">
        <v>11</v>
      </c>
      <c r="N1" s="1">
        <v>2017</v>
      </c>
      <c r="O1" s="1" t="s">
        <v>8</v>
      </c>
      <c r="P1" s="1" t="s">
        <v>12</v>
      </c>
    </row>
    <row r="2" spans="1:16" x14ac:dyDescent="0.2">
      <c r="A2" t="s">
        <v>13</v>
      </c>
      <c r="B2">
        <f>55000+700000+837000+952000+1850000+1154000</f>
        <v>5548000</v>
      </c>
      <c r="C2">
        <f>98113+615065+826526+962051+1803853+1083299</f>
        <v>5388907</v>
      </c>
      <c r="D2">
        <f>87390+591517+831438+987871+1821452+1098580</f>
        <v>5418248</v>
      </c>
      <c r="E2">
        <f>2502546+1811511+1101941</f>
        <v>5415998</v>
      </c>
      <c r="F2">
        <f>2508687+1735090+1086127</f>
        <v>5329904</v>
      </c>
      <c r="G2">
        <f>2410662+1691547+890673</f>
        <v>4992882</v>
      </c>
      <c r="H2">
        <f>2423340+1671591+925246</f>
        <v>5020177</v>
      </c>
      <c r="I2">
        <f>2478800+1742042+970680</f>
        <v>5191522</v>
      </c>
      <c r="J2">
        <f t="shared" ref="J2:J8" si="0">I2-B2</f>
        <v>-356478</v>
      </c>
      <c r="K2">
        <f>J2/SUM($J$2:$J$8)</f>
        <v>-4.5030066529871238E-2</v>
      </c>
      <c r="L2" t="s">
        <v>13</v>
      </c>
      <c r="M2">
        <f>I2</f>
        <v>5191522</v>
      </c>
      <c r="N2">
        <f>2527471+1838478+973780</f>
        <v>5339729</v>
      </c>
      <c r="O2">
        <f>N2-M2</f>
        <v>148207</v>
      </c>
      <c r="P2">
        <f>O2/SUM($O$2:$O$8)</f>
        <v>0.12690302737619405</v>
      </c>
    </row>
    <row r="3" spans="1:16" x14ac:dyDescent="0.2">
      <c r="A3" t="s">
        <v>2</v>
      </c>
      <c r="B3">
        <f>2454000+2300000</f>
        <v>4754000</v>
      </c>
      <c r="C3">
        <f>2753315+2452116</f>
        <v>5205431</v>
      </c>
      <c r="D3">
        <f>3074686+2637656</f>
        <v>5712342</v>
      </c>
      <c r="E3">
        <f>3167294+2840841</f>
        <v>6008135</v>
      </c>
      <c r="F3">
        <f>3366018+2946749</f>
        <v>6312767</v>
      </c>
      <c r="G3">
        <f>3459576+3010924</f>
        <v>6470500</v>
      </c>
      <c r="H3">
        <f>3398058+3105240</f>
        <v>6503298</v>
      </c>
      <c r="I3">
        <f>3421421+3180270</f>
        <v>6601691</v>
      </c>
      <c r="J3">
        <f t="shared" si="0"/>
        <v>1847691</v>
      </c>
      <c r="K3">
        <f t="shared" ref="K3:K8" si="1">J3/SUM($J$2:$J$8)</f>
        <v>0.23339911202555086</v>
      </c>
      <c r="L3" t="s">
        <v>2</v>
      </c>
      <c r="M3">
        <f>I3</f>
        <v>6601691</v>
      </c>
      <c r="N3">
        <f>3441378+3180270</f>
        <v>6621648</v>
      </c>
      <c r="O3">
        <f>N3-M3</f>
        <v>19957</v>
      </c>
      <c r="P3">
        <f t="shared" ref="P3:P8" si="2">O3/SUM($O$2:$O$8)</f>
        <v>1.7088286770170807E-2</v>
      </c>
    </row>
    <row r="4" spans="1:16" x14ac:dyDescent="0.2">
      <c r="A4" t="s">
        <v>3</v>
      </c>
      <c r="B4">
        <v>1950000</v>
      </c>
      <c r="C4">
        <v>1987321</v>
      </c>
      <c r="D4">
        <f>2262471</f>
        <v>2262471</v>
      </c>
      <c r="E4">
        <v>2555320</v>
      </c>
      <c r="F4">
        <v>2856255</v>
      </c>
      <c r="G4">
        <v>3268085</v>
      </c>
      <c r="H4">
        <v>3621845</v>
      </c>
      <c r="I4">
        <v>4208626</v>
      </c>
      <c r="J4">
        <f t="shared" si="0"/>
        <v>2258626</v>
      </c>
      <c r="K4">
        <f t="shared" si="1"/>
        <v>0.28530815098294132</v>
      </c>
      <c r="L4" t="s">
        <v>3</v>
      </c>
      <c r="M4">
        <f>I4</f>
        <v>4208626</v>
      </c>
      <c r="N4">
        <v>4502932</v>
      </c>
      <c r="O4">
        <f>N4-M4</f>
        <v>294306</v>
      </c>
      <c r="P4">
        <f t="shared" si="2"/>
        <v>0.25200106860659865</v>
      </c>
    </row>
    <row r="5" spans="1:16" x14ac:dyDescent="0.2">
      <c r="A5" t="s">
        <v>4</v>
      </c>
      <c r="B5">
        <v>53500</v>
      </c>
      <c r="C5">
        <v>216102</v>
      </c>
      <c r="D5">
        <f>884798-D6</f>
        <v>400646</v>
      </c>
      <c r="E5">
        <f>1425640-E6</f>
        <v>829186</v>
      </c>
      <c r="F5">
        <f>2092746-F6-F7</f>
        <v>1316124</v>
      </c>
      <c r="G5">
        <v>1592697</v>
      </c>
      <c r="H5">
        <v>1957768</v>
      </c>
      <c r="I5">
        <v>2059288</v>
      </c>
      <c r="J5">
        <f t="shared" si="0"/>
        <v>2005788</v>
      </c>
      <c r="K5">
        <f t="shared" si="1"/>
        <v>0.25336982109644179</v>
      </c>
      <c r="L5" t="s">
        <v>4</v>
      </c>
      <c r="M5">
        <f>I5</f>
        <v>2059288</v>
      </c>
      <c r="N5">
        <v>2285496</v>
      </c>
      <c r="O5">
        <f>N5-M5</f>
        <v>226208</v>
      </c>
      <c r="P5">
        <f t="shared" si="2"/>
        <v>0.19369179604684059</v>
      </c>
    </row>
    <row r="6" spans="1:16" x14ac:dyDescent="0.2">
      <c r="A6" t="s">
        <v>5</v>
      </c>
      <c r="B6">
        <v>124000</v>
      </c>
      <c r="C6">
        <v>262416</v>
      </c>
      <c r="D6">
        <v>484152</v>
      </c>
      <c r="E6">
        <v>596454</v>
      </c>
      <c r="F6">
        <v>760602</v>
      </c>
      <c r="G6">
        <f>954826-G7</f>
        <v>797146</v>
      </c>
      <c r="H6">
        <f>1423146-H7-H8</f>
        <v>1208996</v>
      </c>
      <c r="I6">
        <f>2284817-I7-I8</f>
        <v>1810227</v>
      </c>
      <c r="J6">
        <f t="shared" si="0"/>
        <v>1686227</v>
      </c>
      <c r="K6">
        <f t="shared" si="1"/>
        <v>0.21300308572889545</v>
      </c>
      <c r="L6" t="s">
        <v>15</v>
      </c>
      <c r="M6">
        <f>SUM(I6:I8)</f>
        <v>2284817</v>
      </c>
      <c r="N6">
        <v>2764015</v>
      </c>
      <c r="O6">
        <f>N6-M6</f>
        <v>479198</v>
      </c>
      <c r="P6">
        <f t="shared" si="2"/>
        <v>0.41031582120019588</v>
      </c>
    </row>
    <row r="7" spans="1:1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16020</v>
      </c>
      <c r="G7">
        <v>157680</v>
      </c>
      <c r="H7">
        <v>175950</v>
      </c>
      <c r="I7">
        <v>302194</v>
      </c>
      <c r="J7">
        <f t="shared" si="0"/>
        <v>302194</v>
      </c>
      <c r="K7">
        <f t="shared" si="1"/>
        <v>3.8172947348582266E-2</v>
      </c>
      <c r="L7">
        <v>0</v>
      </c>
      <c r="M7">
        <v>0</v>
      </c>
      <c r="N7">
        <v>0</v>
      </c>
      <c r="O7">
        <v>0</v>
      </c>
      <c r="P7">
        <f t="shared" si="2"/>
        <v>0</v>
      </c>
    </row>
    <row r="8" spans="1:16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38200</v>
      </c>
      <c r="I8">
        <v>172396</v>
      </c>
      <c r="J8">
        <f t="shared" si="0"/>
        <v>172396</v>
      </c>
      <c r="K8">
        <f t="shared" si="1"/>
        <v>2.1776949347459541E-2</v>
      </c>
      <c r="L8">
        <v>0</v>
      </c>
      <c r="M8">
        <v>0</v>
      </c>
      <c r="N8">
        <v>0</v>
      </c>
      <c r="O8">
        <v>0</v>
      </c>
      <c r="P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2016-11-10T23:41:03Z</dcterms:created>
  <dcterms:modified xsi:type="dcterms:W3CDTF">2016-11-12T00:02:50Z</dcterms:modified>
</cp:coreProperties>
</file>