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DER\Scrap Optimization\Clone\"/>
    </mc:Choice>
  </mc:AlternateContent>
  <xr:revisionPtr revIDLastSave="0" documentId="13_ncr:1_{8AE2FF56-EDC9-4E58-B36F-4E071721A4EC}" xr6:coauthVersionLast="46" xr6:coauthVersionMax="46" xr10:uidLastSave="{00000000-0000-0000-0000-000000000000}"/>
  <bookViews>
    <workbookView xWindow="-120" yWindow="-120" windowWidth="29040" windowHeight="15840" tabRatio="589" xr2:uid="{00000000-000D-0000-FFFF-FFFF00000000}"/>
  </bookViews>
  <sheets>
    <sheet name="Inventario" sheetId="9" r:id="rId1"/>
    <sheet name="Composicion" sheetId="12" r:id="rId2"/>
    <sheet name="PPC" sheetId="5" r:id="rId3"/>
    <sheet name="Horno Eléctrico" sheetId="1" r:id="rId4"/>
    <sheet name="Horno Cuchara" sheetId="2" r:id="rId5"/>
    <sheet name="Colada Continua" sheetId="4" r:id="rId6"/>
    <sheet name="Hoja3" sheetId="3" r:id="rId7"/>
    <sheet name="Hoja2" sheetId="8" r:id="rId8"/>
    <sheet name="Hoja1" sheetId="6" r:id="rId9"/>
    <sheet name="Mix tentativo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5" l="1"/>
  <c r="AU10" i="5"/>
  <c r="G11" i="5"/>
  <c r="G14" i="5" s="1"/>
  <c r="B23" i="5" s="1"/>
  <c r="S7" i="1" a="1"/>
  <c r="S7" i="1" s="1"/>
  <c r="S11" i="1" s="1"/>
  <c r="D68" i="1"/>
  <c r="B68" i="1"/>
  <c r="G75" i="1"/>
  <c r="B17" i="1" s="1"/>
  <c r="E19" i="1"/>
  <c r="G19" i="1"/>
  <c r="G2" i="1"/>
  <c r="C2" i="1"/>
  <c r="D2" i="1"/>
  <c r="X5" i="5"/>
  <c r="Y2" i="5"/>
  <c r="F17" i="5"/>
  <c r="K10" i="5"/>
  <c r="AU3" i="5"/>
  <c r="AU4" i="5"/>
  <c r="AU5" i="5"/>
  <c r="AU6" i="5"/>
  <c r="AU7" i="5"/>
  <c r="AU8" i="5"/>
  <c r="AU9" i="5"/>
  <c r="AU2" i="5"/>
  <c r="AA11" i="5"/>
  <c r="AL2" i="5"/>
  <c r="AN5" i="5"/>
  <c r="AM9" i="5"/>
  <c r="E16" i="5"/>
  <c r="E17" i="5"/>
  <c r="N2" i="5"/>
  <c r="R16" i="5"/>
  <c r="P16" i="5"/>
  <c r="N16" i="5"/>
  <c r="Q21" i="5"/>
  <c r="I2" i="5"/>
  <c r="H38" i="5"/>
  <c r="C12" i="5"/>
  <c r="C15" i="5"/>
  <c r="H34" i="5"/>
  <c r="H30" i="5"/>
  <c r="F27" i="5"/>
  <c r="F30" i="5"/>
  <c r="J10" i="7"/>
  <c r="B37" i="1"/>
  <c r="H36" i="5"/>
  <c r="I10" i="5"/>
  <c r="F25" i="5" s="1"/>
  <c r="N15" i="5"/>
  <c r="O23" i="5"/>
  <c r="B2" i="5"/>
  <c r="M3" i="5"/>
  <c r="I11" i="5"/>
  <c r="D14" i="5"/>
  <c r="W12" i="5"/>
  <c r="V19" i="5"/>
  <c r="M11" i="5"/>
  <c r="O7" i="5"/>
  <c r="O10" i="5" s="1"/>
  <c r="L7" i="5"/>
  <c r="P8" i="5"/>
  <c r="N4" i="5"/>
  <c r="AC13" i="5"/>
  <c r="AE19" i="5"/>
  <c r="W10" i="5"/>
  <c r="L2" i="5"/>
  <c r="B34" i="1" l="1"/>
  <c r="B30" i="1"/>
  <c r="AA19" i="5"/>
  <c r="F8" i="5" l="1"/>
  <c r="F7" i="5"/>
  <c r="F6" i="5"/>
  <c r="F5" i="5"/>
  <c r="F4" i="5"/>
  <c r="F2" i="5"/>
  <c r="G17" i="5" l="1"/>
  <c r="I13" i="5"/>
  <c r="H13" i="5" s="1"/>
  <c r="B28" i="1" l="1"/>
  <c r="B29" i="1"/>
  <c r="V5" i="5" l="1"/>
  <c r="V6" i="5"/>
  <c r="V7" i="5"/>
  <c r="V8" i="5"/>
  <c r="V9" i="5"/>
  <c r="Q31" i="5" l="1"/>
  <c r="I9" i="5" l="1"/>
  <c r="I7" i="5"/>
  <c r="I6" i="5"/>
  <c r="I5" i="5"/>
  <c r="I4" i="5"/>
  <c r="N6" i="5" l="1"/>
  <c r="B9" i="5" l="1"/>
  <c r="L9" i="5" s="1"/>
  <c r="I3" i="5" l="1"/>
  <c r="I8" i="5"/>
  <c r="B4" i="5" l="1"/>
  <c r="L4" i="5" l="1"/>
  <c r="Q4" i="5" s="1"/>
  <c r="O27" i="5"/>
  <c r="O29" i="5" s="1"/>
  <c r="Q29" i="5" s="1"/>
  <c r="D91" i="1"/>
  <c r="E91" i="1"/>
  <c r="F91" i="1"/>
  <c r="B91" i="1"/>
  <c r="C91" i="1"/>
  <c r="O32" i="5" l="1"/>
  <c r="Q32" i="5" s="1"/>
  <c r="Q36" i="5" s="1"/>
  <c r="V18" i="5"/>
  <c r="D115" i="8"/>
  <c r="E112" i="8" s="1"/>
  <c r="E107" i="8"/>
  <c r="B107" i="8"/>
  <c r="E106" i="8"/>
  <c r="B105" i="8"/>
  <c r="B103" i="8"/>
  <c r="B102" i="8"/>
  <c r="B101" i="8"/>
  <c r="B100" i="8"/>
  <c r="B99" i="8"/>
  <c r="B98" i="8"/>
  <c r="B77" i="8"/>
  <c r="J77" i="8" s="1"/>
  <c r="K76" i="8"/>
  <c r="I76" i="8"/>
  <c r="B76" i="8"/>
  <c r="J76" i="8" s="1"/>
  <c r="B75" i="8"/>
  <c r="H75" i="8" s="1"/>
  <c r="E54" i="8"/>
  <c r="G52" i="8"/>
  <c r="E52" i="8"/>
  <c r="I47" i="8"/>
  <c r="B39" i="8"/>
  <c r="B35" i="8"/>
  <c r="E34" i="8"/>
  <c r="G34" i="8" s="1"/>
  <c r="G35" i="8" s="1"/>
  <c r="I35" i="8" s="1"/>
  <c r="B34" i="8"/>
  <c r="N32" i="8"/>
  <c r="B30" i="8"/>
  <c r="E29" i="8"/>
  <c r="G29" i="8" s="1"/>
  <c r="G30" i="8" s="1"/>
  <c r="B29" i="8"/>
  <c r="B28" i="8"/>
  <c r="B31" i="8" s="1"/>
  <c r="I27" i="8"/>
  <c r="E24" i="8"/>
  <c r="G24" i="8" s="1"/>
  <c r="G25" i="8" s="1"/>
  <c r="I22" i="8"/>
  <c r="I17" i="8"/>
  <c r="G19" i="8" s="1"/>
  <c r="G20" i="8" s="1"/>
  <c r="H9" i="8"/>
  <c r="B9" i="8" s="1"/>
  <c r="E9" i="8"/>
  <c r="F9" i="8" s="1"/>
  <c r="A9" i="8"/>
  <c r="H8" i="8"/>
  <c r="B8" i="8" s="1"/>
  <c r="E8" i="8"/>
  <c r="F8" i="8" s="1"/>
  <c r="A8" i="8"/>
  <c r="H7" i="8"/>
  <c r="B7" i="8" s="1"/>
  <c r="E7" i="8"/>
  <c r="F7" i="8" s="1"/>
  <c r="A7" i="8"/>
  <c r="H6" i="8"/>
  <c r="B6" i="8" s="1"/>
  <c r="G6" i="8"/>
  <c r="E6" i="8"/>
  <c r="F6" i="8" s="1"/>
  <c r="A6" i="8"/>
  <c r="H5" i="8"/>
  <c r="B5" i="8" s="1"/>
  <c r="G5" i="8"/>
  <c r="E5" i="8"/>
  <c r="F5" i="8" s="1"/>
  <c r="A5" i="8"/>
  <c r="H4" i="8"/>
  <c r="B4" i="8" s="1"/>
  <c r="G4" i="8"/>
  <c r="E4" i="8"/>
  <c r="F4" i="8" s="1"/>
  <c r="A4" i="8"/>
  <c r="H3" i="8"/>
  <c r="B3" i="8" s="1"/>
  <c r="G3" i="8"/>
  <c r="E3" i="8"/>
  <c r="F3" i="8" s="1"/>
  <c r="A3" i="8"/>
  <c r="H2" i="8"/>
  <c r="B2" i="8" s="1"/>
  <c r="G2" i="8"/>
  <c r="E2" i="8"/>
  <c r="F2" i="8" s="1"/>
  <c r="A2" i="8"/>
  <c r="E34" i="1"/>
  <c r="G34" i="1" s="1"/>
  <c r="G35" i="1" s="1"/>
  <c r="E4" i="1"/>
  <c r="F4" i="1" s="1"/>
  <c r="B39" i="1"/>
  <c r="X15" i="5"/>
  <c r="K12" i="5"/>
  <c r="I52" i="8" l="1"/>
  <c r="C75" i="8"/>
  <c r="L75" i="8" s="1"/>
  <c r="K75" i="8"/>
  <c r="C76" i="8"/>
  <c r="L76" i="8" s="1"/>
  <c r="D76" i="8"/>
  <c r="E76" i="8"/>
  <c r="G75" i="8"/>
  <c r="H76" i="8"/>
  <c r="H27" i="5"/>
  <c r="B108" i="8"/>
  <c r="B36" i="8"/>
  <c r="G54" i="8"/>
  <c r="G55" i="8" s="1"/>
  <c r="E77" i="8"/>
  <c r="I77" i="8"/>
  <c r="C5" i="8"/>
  <c r="D5" i="8" s="1"/>
  <c r="B70" i="8" s="1"/>
  <c r="G70" i="8" s="1"/>
  <c r="D77" i="8"/>
  <c r="C8" i="8"/>
  <c r="D8" i="8" s="1"/>
  <c r="B73" i="8" s="1"/>
  <c r="I73" i="8" s="1"/>
  <c r="G76" i="8"/>
  <c r="H77" i="8"/>
  <c r="C3" i="8"/>
  <c r="D3" i="8" s="1"/>
  <c r="B68" i="8" s="1"/>
  <c r="C6" i="8"/>
  <c r="D6" i="8" s="1"/>
  <c r="B71" i="8" s="1"/>
  <c r="B14" i="8"/>
  <c r="C2" i="8"/>
  <c r="D2" i="8" s="1"/>
  <c r="C4" i="8"/>
  <c r="D4" i="8" s="1"/>
  <c r="B69" i="8" s="1"/>
  <c r="C7" i="8"/>
  <c r="D7" i="8" s="1"/>
  <c r="B72" i="8" s="1"/>
  <c r="C9" i="8"/>
  <c r="D9" i="8" s="1"/>
  <c r="B74" i="8" s="1"/>
  <c r="F75" i="8"/>
  <c r="J75" i="8"/>
  <c r="E114" i="8"/>
  <c r="E19" i="8"/>
  <c r="E75" i="8"/>
  <c r="I75" i="8"/>
  <c r="F76" i="8"/>
  <c r="C77" i="8"/>
  <c r="L77" i="8" s="1"/>
  <c r="G77" i="8"/>
  <c r="K77" i="8"/>
  <c r="E113" i="8"/>
  <c r="D75" i="8"/>
  <c r="F77" i="8"/>
  <c r="T15" i="7"/>
  <c r="K11" i="7"/>
  <c r="M11" i="7" s="1"/>
  <c r="O11" i="7" s="1"/>
  <c r="Q11" i="7" s="1"/>
  <c r="K10" i="7"/>
  <c r="I10" i="7"/>
  <c r="I12" i="7" s="1"/>
  <c r="H10" i="7"/>
  <c r="R9" i="7"/>
  <c r="P9" i="7"/>
  <c r="L9" i="7"/>
  <c r="F9" i="7"/>
  <c r="B9" i="7"/>
  <c r="J9" i="7" s="1"/>
  <c r="M9" i="7" s="1"/>
  <c r="N9" i="7" s="1"/>
  <c r="R8" i="7"/>
  <c r="P8" i="7"/>
  <c r="L8" i="7"/>
  <c r="F8" i="7"/>
  <c r="B8" i="7"/>
  <c r="J8" i="7" s="1"/>
  <c r="M8" i="7" s="1"/>
  <c r="N8" i="7" s="1"/>
  <c r="R7" i="7"/>
  <c r="P7" i="7"/>
  <c r="L7" i="7"/>
  <c r="F7" i="7"/>
  <c r="B7" i="7"/>
  <c r="C7" i="7" s="1"/>
  <c r="R6" i="7"/>
  <c r="P6" i="7"/>
  <c r="N6" i="7"/>
  <c r="L6" i="7"/>
  <c r="F6" i="7"/>
  <c r="B6" i="7"/>
  <c r="J6" i="7" s="1"/>
  <c r="R5" i="7"/>
  <c r="N5" i="7"/>
  <c r="L5" i="7"/>
  <c r="F5" i="7"/>
  <c r="B5" i="7"/>
  <c r="J5" i="7" s="1"/>
  <c r="O5" i="7" s="1"/>
  <c r="P4" i="7"/>
  <c r="N4" i="7"/>
  <c r="L4" i="7"/>
  <c r="F4" i="7"/>
  <c r="B4" i="7"/>
  <c r="C4" i="7" s="1"/>
  <c r="R3" i="7"/>
  <c r="P3" i="7"/>
  <c r="L3" i="7"/>
  <c r="F3" i="7"/>
  <c r="B3" i="7"/>
  <c r="C3" i="7" s="1"/>
  <c r="R2" i="7"/>
  <c r="P2" i="7"/>
  <c r="L2" i="7"/>
  <c r="F2" i="7"/>
  <c r="B2" i="7"/>
  <c r="I54" i="8" l="1"/>
  <c r="C2" i="7"/>
  <c r="C8" i="7"/>
  <c r="D8" i="7" s="1"/>
  <c r="H73" i="8"/>
  <c r="C73" i="8"/>
  <c r="L73" i="8" s="1"/>
  <c r="J70" i="8"/>
  <c r="I70" i="8"/>
  <c r="E68" i="8"/>
  <c r="K68" i="8"/>
  <c r="L10" i="7"/>
  <c r="L13" i="7" s="1"/>
  <c r="M12" i="7" s="1"/>
  <c r="C5" i="7"/>
  <c r="D5" i="7" s="1"/>
  <c r="G73" i="8"/>
  <c r="F73" i="8"/>
  <c r="E73" i="8"/>
  <c r="K73" i="8"/>
  <c r="J73" i="8"/>
  <c r="D73" i="8"/>
  <c r="F70" i="8"/>
  <c r="G68" i="8"/>
  <c r="D70" i="8"/>
  <c r="K70" i="8"/>
  <c r="E70" i="8"/>
  <c r="C70" i="8"/>
  <c r="L70" i="8" s="1"/>
  <c r="H70" i="8"/>
  <c r="C68" i="8"/>
  <c r="L68" i="8" s="1"/>
  <c r="D68" i="8"/>
  <c r="H68" i="8"/>
  <c r="J68" i="8"/>
  <c r="I68" i="8"/>
  <c r="F68" i="8"/>
  <c r="I72" i="8"/>
  <c r="E72" i="8"/>
  <c r="K72" i="8"/>
  <c r="C72" i="8"/>
  <c r="L72" i="8" s="1"/>
  <c r="D72" i="8"/>
  <c r="J72" i="8"/>
  <c r="F72" i="8"/>
  <c r="G72" i="8"/>
  <c r="H72" i="8"/>
  <c r="K74" i="8"/>
  <c r="G74" i="8"/>
  <c r="C74" i="8"/>
  <c r="L74" i="8" s="1"/>
  <c r="I74" i="8"/>
  <c r="E74" i="8"/>
  <c r="J74" i="8"/>
  <c r="F74" i="8"/>
  <c r="H74" i="8"/>
  <c r="D74" i="8"/>
  <c r="J69" i="8"/>
  <c r="F69" i="8"/>
  <c r="D69" i="8"/>
  <c r="K69" i="8"/>
  <c r="G69" i="8"/>
  <c r="C69" i="8"/>
  <c r="L69" i="8" s="1"/>
  <c r="H69" i="8"/>
  <c r="I69" i="8"/>
  <c r="E69" i="8"/>
  <c r="E49" i="8"/>
  <c r="G49" i="8" s="1"/>
  <c r="B67" i="8"/>
  <c r="D14" i="8"/>
  <c r="B16" i="8" s="1"/>
  <c r="H71" i="8"/>
  <c r="D71" i="8"/>
  <c r="F71" i="8"/>
  <c r="G71" i="8"/>
  <c r="I71" i="8"/>
  <c r="E71" i="8"/>
  <c r="J71" i="8"/>
  <c r="K71" i="8"/>
  <c r="C71" i="8"/>
  <c r="L71" i="8" s="1"/>
  <c r="P5" i="7"/>
  <c r="P10" i="7" s="1"/>
  <c r="O10" i="7"/>
  <c r="J3" i="7"/>
  <c r="M3" i="7" s="1"/>
  <c r="N3" i="7" s="1"/>
  <c r="B11" i="7"/>
  <c r="J4" i="7"/>
  <c r="Q4" i="7" s="1"/>
  <c r="J7" i="7"/>
  <c r="M7" i="7" s="1"/>
  <c r="N7" i="7" s="1"/>
  <c r="E16" i="7"/>
  <c r="E17" i="7" s="1"/>
  <c r="D2" i="7"/>
  <c r="D3" i="7"/>
  <c r="C6" i="7"/>
  <c r="D6" i="7" s="1"/>
  <c r="C9" i="7"/>
  <c r="D9" i="7" s="1"/>
  <c r="J2" i="7"/>
  <c r="D4" i="7"/>
  <c r="D7" i="7"/>
  <c r="O11" i="5"/>
  <c r="Q11" i="5" s="1"/>
  <c r="T5" i="5"/>
  <c r="T6" i="5"/>
  <c r="T7" i="5"/>
  <c r="T8" i="5"/>
  <c r="T9" i="5"/>
  <c r="G50" i="8" l="1"/>
  <c r="I49" i="8"/>
  <c r="H67" i="8"/>
  <c r="H78" i="8" s="1"/>
  <c r="B21" i="8" s="1"/>
  <c r="D67" i="8"/>
  <c r="D78" i="8" s="1"/>
  <c r="B19" i="8" s="1"/>
  <c r="M2" i="8" s="1"/>
  <c r="J67" i="8"/>
  <c r="J78" i="8" s="1"/>
  <c r="B24" i="8" s="1"/>
  <c r="M7" i="8" s="1"/>
  <c r="K67" i="8"/>
  <c r="K78" i="8" s="1"/>
  <c r="B22" i="8" s="1"/>
  <c r="B40" i="8" s="1"/>
  <c r="C67" i="8"/>
  <c r="I67" i="8"/>
  <c r="I78" i="8" s="1"/>
  <c r="B23" i="8" s="1"/>
  <c r="E67" i="8"/>
  <c r="E78" i="8" s="1"/>
  <c r="B20" i="8" s="1"/>
  <c r="M5" i="8" s="1"/>
  <c r="F67" i="8"/>
  <c r="F78" i="8" s="1"/>
  <c r="B18" i="8" s="1"/>
  <c r="M4" i="8" s="1"/>
  <c r="B78" i="8"/>
  <c r="G67" i="8"/>
  <c r="G78" i="8" s="1"/>
  <c r="B17" i="8" s="1"/>
  <c r="M2" i="7"/>
  <c r="C11" i="7"/>
  <c r="Q10" i="7"/>
  <c r="R4" i="7"/>
  <c r="R10" i="7" s="1"/>
  <c r="D11" i="7"/>
  <c r="N32" i="1"/>
  <c r="E3" i="1"/>
  <c r="F3" i="1" s="1"/>
  <c r="E5" i="1"/>
  <c r="F5" i="1" s="1"/>
  <c r="E6" i="1"/>
  <c r="F6" i="1" s="1"/>
  <c r="E7" i="1"/>
  <c r="F7" i="1" s="1"/>
  <c r="E8" i="1"/>
  <c r="F8" i="1" s="1"/>
  <c r="E9" i="1"/>
  <c r="F9" i="1" s="1"/>
  <c r="H4" i="1"/>
  <c r="B4" i="1" s="1"/>
  <c r="C4" i="1" s="1"/>
  <c r="H5" i="1"/>
  <c r="B5" i="1" s="1"/>
  <c r="H6" i="1"/>
  <c r="B6" i="1" s="1"/>
  <c r="H7" i="1"/>
  <c r="B7" i="1" s="1"/>
  <c r="H8" i="1"/>
  <c r="B8" i="1" s="1"/>
  <c r="H9" i="1"/>
  <c r="B9" i="1" s="1"/>
  <c r="A9" i="1"/>
  <c r="A8" i="1"/>
  <c r="A7" i="1"/>
  <c r="A6" i="1"/>
  <c r="A5" i="1"/>
  <c r="A4" i="1"/>
  <c r="A3" i="1"/>
  <c r="A2" i="1"/>
  <c r="J10" i="5"/>
  <c r="D44" i="2"/>
  <c r="F44" i="2" s="1"/>
  <c r="D40" i="2"/>
  <c r="F42" i="2"/>
  <c r="C8" i="1" l="1"/>
  <c r="C7" i="1"/>
  <c r="C5" i="1"/>
  <c r="C9" i="1"/>
  <c r="C6" i="1"/>
  <c r="C78" i="8"/>
  <c r="C14" i="8" s="1"/>
  <c r="L67" i="8"/>
  <c r="L78" i="8" s="1"/>
  <c r="B25" i="8"/>
  <c r="M3" i="8"/>
  <c r="V33" i="8" s="1"/>
  <c r="C15" i="7"/>
  <c r="T2" i="7" s="1"/>
  <c r="G11" i="7"/>
  <c r="G13" i="7" s="1"/>
  <c r="M10" i="7"/>
  <c r="N2" i="7"/>
  <c r="N10" i="7" s="1"/>
  <c r="N13" i="7" s="1"/>
  <c r="H42" i="2"/>
  <c r="H44" i="2" s="1"/>
  <c r="J42" i="2"/>
  <c r="J44" i="2" s="1"/>
  <c r="L40" i="2"/>
  <c r="H40" i="2"/>
  <c r="L38" i="2"/>
  <c r="J38" i="2"/>
  <c r="J40" i="2" s="1"/>
  <c r="F38" i="2"/>
  <c r="F40" i="2" s="1"/>
  <c r="I35" i="2" s="1"/>
  <c r="E20" i="2"/>
  <c r="E15" i="2"/>
  <c r="P2" i="8" l="1"/>
  <c r="N13" i="8" s="1"/>
  <c r="V35" i="8"/>
  <c r="V34" i="8"/>
  <c r="S10" i="7"/>
  <c r="S9" i="7"/>
  <c r="S8" i="7"/>
  <c r="S5" i="7"/>
  <c r="S7" i="7"/>
  <c r="S4" i="7"/>
  <c r="S2" i="7"/>
  <c r="S6" i="7"/>
  <c r="S3" i="7"/>
  <c r="O12" i="7"/>
  <c r="P13" i="7"/>
  <c r="E54" i="1"/>
  <c r="S13" i="7" l="1"/>
  <c r="Q12" i="7"/>
  <c r="G6" i="1"/>
  <c r="G5" i="1"/>
  <c r="G4" i="1"/>
  <c r="G3" i="1"/>
  <c r="H1" i="6" l="1"/>
  <c r="D1" i="6"/>
  <c r="D2" i="6" s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E1" i="6"/>
  <c r="C3" i="6" s="1"/>
  <c r="B35" i="6" l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5" i="6" l="1"/>
  <c r="E2" i="1"/>
  <c r="F2" i="1" s="1"/>
  <c r="H3" i="1"/>
  <c r="B3" i="1" s="1"/>
  <c r="C3" i="1" s="1"/>
  <c r="H2" i="1"/>
  <c r="B2" i="1" s="1"/>
  <c r="D3" i="1" l="1"/>
  <c r="C68" i="1" l="1"/>
  <c r="S11" i="5"/>
  <c r="U11" i="5" s="1"/>
  <c r="B7" i="5"/>
  <c r="D101" i="8"/>
  <c r="E101" i="8" s="1"/>
  <c r="B8" i="5"/>
  <c r="L8" i="5" s="1"/>
  <c r="B6" i="5"/>
  <c r="B5" i="5"/>
  <c r="L5" i="5" s="1"/>
  <c r="N5" i="5" s="1"/>
  <c r="D105" i="8" l="1"/>
  <c r="E105" i="8" s="1"/>
  <c r="L6" i="5"/>
  <c r="D102" i="8"/>
  <c r="E102" i="8" s="1"/>
  <c r="C7" i="5"/>
  <c r="D100" i="8"/>
  <c r="E100" i="8" s="1"/>
  <c r="N8" i="5"/>
  <c r="D104" i="8"/>
  <c r="E104" i="8" s="1"/>
  <c r="N9" i="5"/>
  <c r="D99" i="8"/>
  <c r="N7" i="5"/>
  <c r="D97" i="1"/>
  <c r="D101" i="1"/>
  <c r="D96" i="1"/>
  <c r="D99" i="1"/>
  <c r="D98" i="1"/>
  <c r="E98" i="1" s="1"/>
  <c r="D102" i="1"/>
  <c r="Q2" i="5"/>
  <c r="F9" i="5"/>
  <c r="C9" i="5" s="1"/>
  <c r="C6" i="5"/>
  <c r="C5" i="5"/>
  <c r="C4" i="5"/>
  <c r="F3" i="5"/>
  <c r="B3" i="5"/>
  <c r="L3" i="5" s="1"/>
  <c r="N3" i="5" s="1"/>
  <c r="B95" i="1"/>
  <c r="B100" i="1"/>
  <c r="B99" i="1"/>
  <c r="B98" i="1"/>
  <c r="B97" i="1"/>
  <c r="B96" i="1"/>
  <c r="H95" i="3"/>
  <c r="C85" i="3"/>
  <c r="C84" i="3"/>
  <c r="C83" i="3"/>
  <c r="D83" i="3" s="1"/>
  <c r="F92" i="3"/>
  <c r="C92" i="3" s="1"/>
  <c r="F91" i="3"/>
  <c r="B91" i="3"/>
  <c r="F90" i="3"/>
  <c r="C90" i="3" s="1"/>
  <c r="F89" i="3"/>
  <c r="B89" i="3"/>
  <c r="C89" i="3" s="1"/>
  <c r="F88" i="3"/>
  <c r="B88" i="3"/>
  <c r="F87" i="3"/>
  <c r="B87" i="3"/>
  <c r="F86" i="3"/>
  <c r="F85" i="3"/>
  <c r="F84" i="3"/>
  <c r="F83" i="3"/>
  <c r="F82" i="3"/>
  <c r="I33" i="2"/>
  <c r="E35" i="2" s="1"/>
  <c r="L23" i="2"/>
  <c r="L22" i="2"/>
  <c r="N10" i="5" l="1"/>
  <c r="B11" i="5"/>
  <c r="L10" i="5"/>
  <c r="S4" i="5"/>
  <c r="P4" i="5"/>
  <c r="C2" i="5"/>
  <c r="V4" i="5"/>
  <c r="G35" i="2"/>
  <c r="G36" i="2" s="1"/>
  <c r="C88" i="3"/>
  <c r="D88" i="3" s="1"/>
  <c r="D90" i="3"/>
  <c r="C82" i="3"/>
  <c r="D82" i="3" s="1"/>
  <c r="C86" i="3"/>
  <c r="D86" i="3" s="1"/>
  <c r="D103" i="8"/>
  <c r="E103" i="8" s="1"/>
  <c r="D98" i="8"/>
  <c r="E98" i="8" s="1"/>
  <c r="E99" i="8"/>
  <c r="AD11" i="5"/>
  <c r="O42" i="1" s="1"/>
  <c r="AF11" i="5"/>
  <c r="Q42" i="1" s="1"/>
  <c r="AH11" i="5"/>
  <c r="S42" i="1" s="1"/>
  <c r="L42" i="1"/>
  <c r="AC11" i="5"/>
  <c r="AE11" i="5"/>
  <c r="P42" i="1" s="1"/>
  <c r="AG11" i="5"/>
  <c r="R42" i="1" s="1"/>
  <c r="AI11" i="5"/>
  <c r="T42" i="1" s="1"/>
  <c r="AB11" i="5"/>
  <c r="M42" i="1" s="1"/>
  <c r="C3" i="5"/>
  <c r="P6" i="5"/>
  <c r="R8" i="5"/>
  <c r="D100" i="1"/>
  <c r="D95" i="1"/>
  <c r="E95" i="1" s="1"/>
  <c r="D6" i="5"/>
  <c r="C8" i="5"/>
  <c r="D4" i="5"/>
  <c r="D9" i="5"/>
  <c r="D7" i="5"/>
  <c r="D5" i="5"/>
  <c r="B93" i="3"/>
  <c r="H94" i="3" s="1"/>
  <c r="C87" i="3"/>
  <c r="C91" i="3"/>
  <c r="D91" i="3" s="1"/>
  <c r="D85" i="3"/>
  <c r="D89" i="3"/>
  <c r="D84" i="3"/>
  <c r="D92" i="3"/>
  <c r="C11" i="5" l="1"/>
  <c r="V20" i="5"/>
  <c r="W20" i="5" s="1"/>
  <c r="S3" i="5"/>
  <c r="T3" i="5" s="1"/>
  <c r="S2" i="5"/>
  <c r="T2" i="5" s="1"/>
  <c r="E49" i="1"/>
  <c r="D8" i="5"/>
  <c r="N42" i="1"/>
  <c r="AG18" i="5"/>
  <c r="T4" i="5"/>
  <c r="R4" i="5"/>
  <c r="V3" i="5"/>
  <c r="P9" i="5"/>
  <c r="C93" i="3"/>
  <c r="H93" i="3" s="1"/>
  <c r="D108" i="8"/>
  <c r="C99" i="8" s="1"/>
  <c r="M24" i="1"/>
  <c r="E24" i="1" s="1"/>
  <c r="M24" i="8"/>
  <c r="M26" i="1"/>
  <c r="M26" i="8"/>
  <c r="M28" i="1"/>
  <c r="M28" i="8"/>
  <c r="M29" i="1"/>
  <c r="M29" i="8"/>
  <c r="M30" i="1"/>
  <c r="M30" i="8"/>
  <c r="M31" i="1"/>
  <c r="N30" i="8"/>
  <c r="M31" i="8"/>
  <c r="N31" i="1"/>
  <c r="N31" i="8"/>
  <c r="M32" i="8"/>
  <c r="M25" i="1"/>
  <c r="B37" i="8"/>
  <c r="E44" i="8" s="1"/>
  <c r="G44" i="8" s="1"/>
  <c r="M25" i="8"/>
  <c r="E44" i="1"/>
  <c r="G44" i="1" s="1"/>
  <c r="G45" i="1" s="1"/>
  <c r="M27" i="1"/>
  <c r="M27" i="8"/>
  <c r="E39" i="8" s="1"/>
  <c r="M32" i="1"/>
  <c r="N30" i="1"/>
  <c r="D3" i="5"/>
  <c r="D2" i="5"/>
  <c r="D11" i="5" s="1"/>
  <c r="P5" i="5"/>
  <c r="R5" i="5"/>
  <c r="R6" i="5"/>
  <c r="P3" i="5"/>
  <c r="R9" i="5"/>
  <c r="P7" i="5"/>
  <c r="D87" i="3"/>
  <c r="B104" i="1"/>
  <c r="B102" i="1"/>
  <c r="L8" i="2"/>
  <c r="AL4" i="5" l="1"/>
  <c r="P10" i="5"/>
  <c r="H11" i="5"/>
  <c r="P14" i="5"/>
  <c r="P17" i="5" s="1"/>
  <c r="R2" i="5"/>
  <c r="S10" i="5"/>
  <c r="V2" i="5"/>
  <c r="V10" i="5" s="1"/>
  <c r="U10" i="5"/>
  <c r="AM6" i="5"/>
  <c r="AM12" i="5" s="1"/>
  <c r="AM17" i="5" s="1"/>
  <c r="AL6" i="5"/>
  <c r="AL12" i="5" s="1"/>
  <c r="AL17" i="5" s="1"/>
  <c r="AN6" i="5"/>
  <c r="AN12" i="5" s="1"/>
  <c r="AN17" i="5" s="1"/>
  <c r="T10" i="5"/>
  <c r="T14" i="5" s="1"/>
  <c r="T15" i="5"/>
  <c r="C107" i="8"/>
  <c r="M10" i="5"/>
  <c r="N14" i="5" s="1"/>
  <c r="N17" i="5" s="1"/>
  <c r="C106" i="8"/>
  <c r="C101" i="8"/>
  <c r="C103" i="8"/>
  <c r="C104" i="8"/>
  <c r="C98" i="8"/>
  <c r="C105" i="8"/>
  <c r="C102" i="8"/>
  <c r="C100" i="8"/>
  <c r="G39" i="8"/>
  <c r="B41" i="8"/>
  <c r="R2" i="8"/>
  <c r="G45" i="8"/>
  <c r="I44" i="8"/>
  <c r="B38" i="8" s="1"/>
  <c r="I44" i="1"/>
  <c r="P2" i="5"/>
  <c r="R3" i="5"/>
  <c r="E10" i="2"/>
  <c r="G10" i="2" s="1"/>
  <c r="G11" i="2" s="1"/>
  <c r="L10" i="2"/>
  <c r="G15" i="2"/>
  <c r="I15" i="2" s="1"/>
  <c r="G20" i="2"/>
  <c r="G21" i="2" s="1"/>
  <c r="I23" i="2"/>
  <c r="I18" i="2"/>
  <c r="I8" i="2"/>
  <c r="B35" i="1"/>
  <c r="B36" i="1" s="1"/>
  <c r="E52" i="1"/>
  <c r="G52" i="1"/>
  <c r="V12" i="5" l="1"/>
  <c r="O12" i="5"/>
  <c r="Q12" i="5" s="1"/>
  <c r="N13" i="5"/>
  <c r="P13" i="5" s="1"/>
  <c r="R13" i="5" s="1"/>
  <c r="T13" i="5" s="1"/>
  <c r="R17" i="5"/>
  <c r="R31" i="5"/>
  <c r="Y3" i="5"/>
  <c r="R32" i="5"/>
  <c r="H14" i="5"/>
  <c r="AL19" i="5"/>
  <c r="AL10" i="5"/>
  <c r="AL15" i="5" s="1"/>
  <c r="T16" i="5"/>
  <c r="AM4" i="5"/>
  <c r="AM10" i="5" s="1"/>
  <c r="AM15" i="5" s="1"/>
  <c r="P15" i="5"/>
  <c r="AN4" i="5"/>
  <c r="AN10" i="5" s="1"/>
  <c r="AN15" i="5" s="1"/>
  <c r="AM2" i="5"/>
  <c r="AM14" i="5" s="1"/>
  <c r="AN2" i="5"/>
  <c r="AN9" i="5" s="1"/>
  <c r="AN14" i="5" s="1"/>
  <c r="AO17" i="5"/>
  <c r="AP6" i="5" s="1"/>
  <c r="G25" i="2"/>
  <c r="G26" i="2" s="1"/>
  <c r="E25" i="2"/>
  <c r="C40" i="8"/>
  <c r="R5" i="8"/>
  <c r="C39" i="8"/>
  <c r="S2" i="8"/>
  <c r="S5" i="8" s="1"/>
  <c r="G14" i="8"/>
  <c r="M1" i="8"/>
  <c r="M6" i="8"/>
  <c r="I39" i="8"/>
  <c r="M8" i="8" s="1"/>
  <c r="G40" i="8"/>
  <c r="S7" i="8" s="1"/>
  <c r="C41" i="8"/>
  <c r="L2" i="2"/>
  <c r="R7" i="5"/>
  <c r="R10" i="5" s="1"/>
  <c r="Q10" i="5"/>
  <c r="I20" i="2"/>
  <c r="G16" i="2"/>
  <c r="I52" i="1"/>
  <c r="G54" i="1"/>
  <c r="G55" i="1" s="1"/>
  <c r="X10" i="5" l="1"/>
  <c r="P18" i="5"/>
  <c r="P20" i="5" s="1"/>
  <c r="R14" i="5"/>
  <c r="T17" i="5" s="1"/>
  <c r="AL9" i="5"/>
  <c r="AL14" i="5" s="1"/>
  <c r="AO14" i="5" s="1"/>
  <c r="AP2" i="5" s="1"/>
  <c r="W8" i="5"/>
  <c r="AN11" i="5"/>
  <c r="AN16" i="5" s="1"/>
  <c r="AL5" i="5"/>
  <c r="AL11" i="5" s="1"/>
  <c r="AL16" i="5" s="1"/>
  <c r="R15" i="5"/>
  <c r="AM5" i="5"/>
  <c r="AM11" i="5" s="1"/>
  <c r="AM16" i="5" s="1"/>
  <c r="AO15" i="5"/>
  <c r="AP4" i="5" s="1"/>
  <c r="W3" i="5"/>
  <c r="W4" i="5"/>
  <c r="W5" i="5"/>
  <c r="W7" i="5"/>
  <c r="W9" i="5"/>
  <c r="W6" i="5"/>
  <c r="I2" i="2"/>
  <c r="S11" i="8"/>
  <c r="T11" i="8" s="1"/>
  <c r="U11" i="8" s="1"/>
  <c r="S13" i="8" s="1"/>
  <c r="T7" i="8"/>
  <c r="T9" i="8"/>
  <c r="J11" i="8"/>
  <c r="M10" i="8"/>
  <c r="O8" i="8" s="1"/>
  <c r="N10" i="2"/>
  <c r="N8" i="2"/>
  <c r="I54" i="1"/>
  <c r="H29" i="5" l="1"/>
  <c r="S12" i="5"/>
  <c r="N18" i="5"/>
  <c r="N20" i="5" s="1"/>
  <c r="R18" i="5"/>
  <c r="R20" i="5" s="1"/>
  <c r="AO16" i="5"/>
  <c r="AP5" i="5" s="1"/>
  <c r="AP7" i="5" s="1"/>
  <c r="O3" i="8"/>
  <c r="O2" i="8"/>
  <c r="O5" i="8"/>
  <c r="J10" i="8"/>
  <c r="O7" i="8"/>
  <c r="FK60" i="8" s="1"/>
  <c r="O9" i="8"/>
  <c r="O4" i="8"/>
  <c r="O6" i="8"/>
  <c r="N23" i="2"/>
  <c r="N22" i="2"/>
  <c r="D105" i="1"/>
  <c r="B105" i="1"/>
  <c r="E102" i="1"/>
  <c r="E104" i="1"/>
  <c r="E103" i="1"/>
  <c r="E101" i="1"/>
  <c r="E100" i="1"/>
  <c r="E99" i="1"/>
  <c r="E97" i="1"/>
  <c r="E96" i="1"/>
  <c r="D112" i="1"/>
  <c r="E111" i="1" s="1"/>
  <c r="E29" i="1"/>
  <c r="T18" i="5" l="1"/>
  <c r="T20" i="5" s="1"/>
  <c r="O13" i="8"/>
  <c r="P13" i="8" s="1"/>
  <c r="FT60" i="8"/>
  <c r="P5" i="8"/>
  <c r="P8" i="8"/>
  <c r="E109" i="1"/>
  <c r="C101" i="1"/>
  <c r="C104" i="1"/>
  <c r="C99" i="1"/>
  <c r="C103" i="1"/>
  <c r="C98" i="1"/>
  <c r="C102" i="1"/>
  <c r="C97" i="1"/>
  <c r="C95" i="1"/>
  <c r="C96" i="1"/>
  <c r="C100" i="1"/>
  <c r="E110" i="1"/>
  <c r="I27" i="1"/>
  <c r="I22" i="1"/>
  <c r="I17" i="1"/>
  <c r="I47" i="1"/>
  <c r="I49" i="1" s="1"/>
  <c r="I35" i="1" l="1"/>
  <c r="G20" i="1"/>
  <c r="D9" i="1"/>
  <c r="B74" i="1" l="1"/>
  <c r="D74" i="1" s="1"/>
  <c r="B14" i="1"/>
  <c r="G24" i="1"/>
  <c r="B38" i="1"/>
  <c r="E39" i="1" l="1"/>
  <c r="B31" i="1"/>
  <c r="B67" i="1" l="1"/>
  <c r="C67" i="1"/>
  <c r="E19" i="3"/>
  <c r="B14" i="3"/>
  <c r="P19" i="3" s="1"/>
  <c r="E7" i="3"/>
  <c r="E8" i="3"/>
  <c r="E4" i="3"/>
  <c r="E3" i="3"/>
  <c r="E74" i="3"/>
  <c r="B33" i="3"/>
  <c r="E30" i="3"/>
  <c r="G30" i="3" s="1"/>
  <c r="G31" i="3" s="1"/>
  <c r="B30" i="3"/>
  <c r="B29" i="3"/>
  <c r="I28" i="3"/>
  <c r="B28" i="3"/>
  <c r="E24" i="3"/>
  <c r="G24" i="3" s="1"/>
  <c r="G25" i="3" s="1"/>
  <c r="I22" i="3"/>
  <c r="I17" i="3"/>
  <c r="G19" i="3" s="1"/>
  <c r="G20" i="3" s="1"/>
  <c r="E17" i="3"/>
  <c r="C12" i="3"/>
  <c r="E12" i="3" s="1"/>
  <c r="C11" i="3"/>
  <c r="D11" i="3" s="1"/>
  <c r="C10" i="3"/>
  <c r="D10" i="3" s="1"/>
  <c r="C9" i="3"/>
  <c r="E9" i="3" s="1"/>
  <c r="C8" i="3"/>
  <c r="C7" i="3"/>
  <c r="D7" i="3" s="1"/>
  <c r="C6" i="3"/>
  <c r="D6" i="3" s="1"/>
  <c r="C5" i="3"/>
  <c r="D5" i="3" s="1"/>
  <c r="C4" i="3"/>
  <c r="D4" i="3" s="1"/>
  <c r="C3" i="3"/>
  <c r="D3" i="3" s="1"/>
  <c r="C2" i="3"/>
  <c r="D2" i="3" s="1"/>
  <c r="E5" i="3" l="1"/>
  <c r="E2" i="3"/>
  <c r="D9" i="3"/>
  <c r="E6" i="3"/>
  <c r="E11" i="3"/>
  <c r="C14" i="3"/>
  <c r="E10" i="3"/>
  <c r="B31" i="3"/>
  <c r="D8" i="3"/>
  <c r="D14" i="3" s="1"/>
  <c r="D12" i="3"/>
  <c r="E14" i="3" l="1"/>
  <c r="B19" i="3"/>
  <c r="B22" i="3"/>
  <c r="B17" i="3"/>
  <c r="B21" i="3"/>
  <c r="J5" i="3" s="1"/>
  <c r="B20" i="3"/>
  <c r="B24" i="3"/>
  <c r="B16" i="3" s="1"/>
  <c r="J1" i="3" s="1"/>
  <c r="B18" i="3"/>
  <c r="C19" i="3"/>
  <c r="C17" i="3"/>
  <c r="A36" i="3" s="1"/>
  <c r="J7" i="3"/>
  <c r="J4" i="3"/>
  <c r="G25" i="1"/>
  <c r="G29" i="1"/>
  <c r="G30" i="1" s="1"/>
  <c r="B36" i="3" l="1"/>
  <c r="B23" i="3" s="1"/>
  <c r="B25" i="3" s="1"/>
  <c r="B39" i="3"/>
  <c r="M19" i="3" s="1"/>
  <c r="M21" i="3" s="1"/>
  <c r="M23" i="3" s="1"/>
  <c r="N23" i="3" s="1"/>
  <c r="O23" i="3" s="1"/>
  <c r="M14" i="3"/>
  <c r="G14" i="3" s="1"/>
  <c r="J12" i="3"/>
  <c r="J2" i="3"/>
  <c r="J6" i="3"/>
  <c r="J3" i="3"/>
  <c r="K3" i="3" s="1"/>
  <c r="B41" i="3"/>
  <c r="B42" i="3" s="1"/>
  <c r="B43" i="3" s="1"/>
  <c r="L5" i="3" l="1"/>
  <c r="O14" i="3"/>
  <c r="V35" i="3"/>
  <c r="V33" i="3"/>
  <c r="L2" i="3"/>
  <c r="J11" i="3" s="1"/>
  <c r="M25" i="3"/>
  <c r="V34" i="3"/>
  <c r="J8" i="3"/>
  <c r="K8" i="3" s="1"/>
  <c r="K7" i="3"/>
  <c r="K4" i="3"/>
  <c r="K5" i="3"/>
  <c r="K2" i="3"/>
  <c r="K6" i="3"/>
  <c r="J9" i="3" l="1"/>
  <c r="K14" i="3"/>
  <c r="D8" i="1" l="1"/>
  <c r="B73" i="1" s="1"/>
  <c r="D73" i="1" s="1"/>
  <c r="D7" i="1"/>
  <c r="B72" i="1" s="1"/>
  <c r="D72" i="1" s="1"/>
  <c r="D5" i="1"/>
  <c r="B70" i="1" s="1"/>
  <c r="D70" i="1" s="1"/>
  <c r="D6" i="1"/>
  <c r="B71" i="1" s="1"/>
  <c r="D71" i="1" s="1"/>
  <c r="D4" i="1" l="1"/>
  <c r="D14" i="1" s="1"/>
  <c r="B16" i="1" s="1"/>
  <c r="M1" i="1" s="1"/>
  <c r="G49" i="1"/>
  <c r="K70" i="1"/>
  <c r="G70" i="1"/>
  <c r="C70" i="1"/>
  <c r="L70" i="1" s="1"/>
  <c r="I70" i="1"/>
  <c r="F70" i="1"/>
  <c r="H70" i="1"/>
  <c r="E70" i="1"/>
  <c r="J70" i="1"/>
  <c r="G72" i="1"/>
  <c r="C72" i="1"/>
  <c r="L72" i="1" s="1"/>
  <c r="E72" i="1"/>
  <c r="F72" i="1"/>
  <c r="K72" i="1"/>
  <c r="H72" i="1"/>
  <c r="I72" i="1"/>
  <c r="J72" i="1"/>
  <c r="F73" i="1"/>
  <c r="J73" i="1"/>
  <c r="C73" i="1"/>
  <c r="L73" i="1" s="1"/>
  <c r="E73" i="1"/>
  <c r="I73" i="1"/>
  <c r="K73" i="1"/>
  <c r="H73" i="1"/>
  <c r="G73" i="1"/>
  <c r="H71" i="1"/>
  <c r="J71" i="1"/>
  <c r="G71" i="1"/>
  <c r="K71" i="1"/>
  <c r="I71" i="1"/>
  <c r="E71" i="1"/>
  <c r="F71" i="1"/>
  <c r="C71" i="1"/>
  <c r="L71" i="1" s="1"/>
  <c r="E67" i="1"/>
  <c r="B69" i="1" l="1"/>
  <c r="G39" i="1"/>
  <c r="B41" i="1"/>
  <c r="L68" i="1"/>
  <c r="G67" i="1"/>
  <c r="L67" i="1"/>
  <c r="I67" i="1"/>
  <c r="J67" i="1"/>
  <c r="K67" i="1"/>
  <c r="H67" i="1"/>
  <c r="F67" i="1"/>
  <c r="G50" i="1"/>
  <c r="D69" i="1" l="1"/>
  <c r="H69" i="1"/>
  <c r="G69" i="1"/>
  <c r="C69" i="1"/>
  <c r="L69" i="1" s="1"/>
  <c r="E69" i="1"/>
  <c r="J69" i="1"/>
  <c r="F69" i="1"/>
  <c r="K69" i="1"/>
  <c r="I69" i="1"/>
  <c r="K68" i="1"/>
  <c r="E68" i="1"/>
  <c r="I68" i="1"/>
  <c r="H68" i="1"/>
  <c r="J68" i="1"/>
  <c r="G68" i="1"/>
  <c r="F68" i="1"/>
  <c r="I39" i="1"/>
  <c r="G40" i="1"/>
  <c r="T11" i="1" l="1"/>
  <c r="U11" i="1" s="1"/>
  <c r="S13" i="1" s="1"/>
  <c r="E2" i="2" s="1"/>
  <c r="J2" i="2" s="1"/>
  <c r="F74" i="1" l="1"/>
  <c r="F75" i="1" s="1"/>
  <c r="B18" i="1" s="1"/>
  <c r="M4" i="1" s="1"/>
  <c r="D75" i="1" l="1"/>
  <c r="B19" i="1" s="1"/>
  <c r="M2" i="1" s="1"/>
  <c r="I74" i="1"/>
  <c r="I75" i="1" s="1"/>
  <c r="B23" i="1" s="1"/>
  <c r="M8" i="1" s="1"/>
  <c r="J74" i="1"/>
  <c r="J75" i="1" s="1"/>
  <c r="B24" i="1" s="1"/>
  <c r="M7" i="1" s="1"/>
  <c r="K74" i="1"/>
  <c r="K75" i="1" s="1"/>
  <c r="B22" i="1" s="1"/>
  <c r="B40" i="1" s="1"/>
  <c r="B75" i="1"/>
  <c r="E74" i="1"/>
  <c r="E75" i="1" s="1"/>
  <c r="B20" i="1" s="1"/>
  <c r="M5" i="1" s="1"/>
  <c r="C74" i="1"/>
  <c r="G74" i="1"/>
  <c r="H74" i="1"/>
  <c r="H75" i="1" s="1"/>
  <c r="B21" i="1" s="1"/>
  <c r="M6" i="1" s="1"/>
  <c r="M3" i="1" l="1"/>
  <c r="AD22" i="5" s="1"/>
  <c r="C75" i="1"/>
  <c r="C14" i="1" s="1"/>
  <c r="C15" i="1" s="1"/>
  <c r="L74" i="1"/>
  <c r="L75" i="1" s="1"/>
  <c r="B25" i="1"/>
  <c r="V34" i="1" l="1"/>
  <c r="V33" i="1"/>
  <c r="P2" i="1"/>
  <c r="N13" i="1" s="1"/>
  <c r="L51" i="1"/>
  <c r="R2" i="1"/>
  <c r="L45" i="1"/>
  <c r="L48" i="1"/>
  <c r="V35" i="1"/>
  <c r="M10" i="1"/>
  <c r="O3" i="1" l="1"/>
  <c r="B20" i="2" s="1"/>
  <c r="L17" i="2" s="1"/>
  <c r="N17" i="2" s="1"/>
  <c r="O6" i="1"/>
  <c r="N51" i="1"/>
  <c r="P51" i="1"/>
  <c r="P48" i="1"/>
  <c r="N48" i="1"/>
  <c r="O9" i="1"/>
  <c r="B26" i="2" s="1"/>
  <c r="O4" i="1"/>
  <c r="B21" i="2" s="1"/>
  <c r="B23" i="2"/>
  <c r="L7" i="2" s="1"/>
  <c r="O7" i="1"/>
  <c r="O8" i="1"/>
  <c r="B25" i="2" s="1"/>
  <c r="L9" i="2" s="1"/>
  <c r="N9" i="2" s="1"/>
  <c r="O2" i="1"/>
  <c r="O5" i="1"/>
  <c r="P45" i="1"/>
  <c r="N45" i="1"/>
  <c r="G14" i="1"/>
  <c r="T7" i="1"/>
  <c r="I3" i="2"/>
  <c r="C39" i="1"/>
  <c r="R5" i="1"/>
  <c r="S2" i="1"/>
  <c r="S5" i="1" s="1"/>
  <c r="C41" i="1"/>
  <c r="C40" i="1"/>
  <c r="L4" i="2" l="1"/>
  <c r="N4" i="2" s="1"/>
  <c r="P5" i="1"/>
  <c r="J10" i="1"/>
  <c r="J11" i="1"/>
  <c r="N7" i="2"/>
  <c r="I30" i="2"/>
  <c r="B24" i="2"/>
  <c r="L21" i="2" s="1"/>
  <c r="N21" i="2" s="1"/>
  <c r="FK60" i="1"/>
  <c r="FT60" i="1"/>
  <c r="B22" i="2"/>
  <c r="O13" i="1"/>
  <c r="P13" i="1" s="1"/>
  <c r="T9" i="1"/>
  <c r="P8" i="1"/>
  <c r="B19" i="2"/>
  <c r="L18" i="2"/>
  <c r="N18" i="2" s="1"/>
  <c r="L5" i="2"/>
  <c r="N5" i="2" s="1"/>
  <c r="L16" i="2" l="1"/>
  <c r="L3" i="2"/>
  <c r="O3" i="2" s="1"/>
  <c r="L6" i="2"/>
  <c r="N6" i="2" s="1"/>
  <c r="L19" i="2"/>
  <c r="N19" i="2" s="1"/>
  <c r="E30" i="2"/>
  <c r="G30" i="2" s="1"/>
  <c r="G31" i="2" s="1"/>
  <c r="L20" i="2"/>
  <c r="N20" i="2" s="1"/>
  <c r="N3" i="2" l="1"/>
  <c r="L11" i="2"/>
  <c r="M13" i="2"/>
  <c r="O16" i="2"/>
  <c r="L15" i="2"/>
  <c r="N16" i="2"/>
  <c r="O22" i="2" l="1"/>
  <c r="O19" i="2"/>
  <c r="O9" i="2"/>
  <c r="O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 Carlos Paredes Silva</author>
    <author>rparedes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normal, 0.83
</t>
        </r>
      </text>
    </comment>
    <comment ref="K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.36
</t>
        </r>
      </text>
    </comment>
    <comment ref="E4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Mezclada con Huachipa sería aparentemen 0 .83.
normal es de 0.88
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promedio liviana 0.41, cizalla sola es 0.46</t>
        </r>
      </text>
    </comment>
    <comment ref="K5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1.3 normal, sin embargo los recortes son muy grandes y ovalados, lo que reduce la densidad aparente</t>
        </r>
      </text>
    </comment>
    <comment ref="E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el mix de harsco se considera 70%, puro A, 87%</t>
        </r>
      </text>
    </comment>
    <comment ref="E7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0.93 REGULAREMENTE, VAMOS A CONsiderar 95% 27.03.17
</t>
        </r>
      </text>
    </comment>
    <comment ref="K9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  <comment ref="D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Considerando que Liviana y Cizalla, el 50% es organico y 10% fragmentada y Pesada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1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1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  <comment ref="D2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4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400-000003000000}">
      <text>
        <r>
          <rPr>
            <b/>
            <u/>
            <sz val="9"/>
            <color indexed="81"/>
            <rFont val="Tahoma"/>
            <family val="2"/>
          </rPr>
          <t>R. Paredes:</t>
        </r>
        <r>
          <rPr>
            <b/>
            <sz val="9"/>
            <color indexed="81"/>
            <rFont val="Tahoma"/>
            <family val="2"/>
          </rPr>
          <t xml:space="preserve">
Para Obtener una Basicidad de 1.5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7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rparedes</author>
  </authors>
  <commentList>
    <comment ref="I9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<sst xmlns="http://schemas.openxmlformats.org/spreadsheetml/2006/main" count="923" uniqueCount="304">
  <si>
    <t>Tipo de Chatarra</t>
  </si>
  <si>
    <t>Tierra</t>
  </si>
  <si>
    <t>Total</t>
  </si>
  <si>
    <t>Carga</t>
  </si>
  <si>
    <t>Rendimiento</t>
  </si>
  <si>
    <t>Contenido de SiO2</t>
  </si>
  <si>
    <t>Adiciòn CaO</t>
  </si>
  <si>
    <t>Adiciòn de Cal</t>
  </si>
  <si>
    <t>MgO Faltante</t>
  </si>
  <si>
    <t>CIZALLADA</t>
  </si>
  <si>
    <t>LIVIANA</t>
  </si>
  <si>
    <t>FABRICA</t>
  </si>
  <si>
    <t>LACTEO</t>
  </si>
  <si>
    <t>OXICORTE</t>
  </si>
  <si>
    <t>PAQUETE COMPACTADO</t>
  </si>
  <si>
    <t>PESADA ENVIO DIRECTO</t>
  </si>
  <si>
    <t>MULTI AG</t>
  </si>
  <si>
    <t>MULTI AP</t>
  </si>
  <si>
    <t>MULTI B</t>
  </si>
  <si>
    <t>MULTI C</t>
  </si>
  <si>
    <t>% tierra</t>
  </si>
  <si>
    <t>Metalico</t>
  </si>
  <si>
    <t>Contenido de S</t>
  </si>
  <si>
    <t>Contenido de CaO</t>
  </si>
  <si>
    <t>Contenido de FeO</t>
  </si>
  <si>
    <t>Contenido MgO</t>
  </si>
  <si>
    <t>Contenido Al2O3</t>
  </si>
  <si>
    <t>Contenido de MgO de Cal</t>
  </si>
  <si>
    <t>Adición de cal dolomitica</t>
  </si>
  <si>
    <t>CaO</t>
  </si>
  <si>
    <t>MgO</t>
  </si>
  <si>
    <t>SiO2</t>
  </si>
  <si>
    <t>Escoria</t>
  </si>
  <si>
    <t>Al2O3</t>
  </si>
  <si>
    <t>MnO</t>
  </si>
  <si>
    <t>FeO</t>
  </si>
  <si>
    <t>Adición de magnesita</t>
  </si>
  <si>
    <t>Contenido MnO</t>
  </si>
  <si>
    <t>Otros</t>
  </si>
  <si>
    <t>C/S</t>
  </si>
  <si>
    <t>Aporte de Fe</t>
  </si>
  <si>
    <t>O2</t>
  </si>
  <si>
    <t>Porcentaje</t>
  </si>
  <si>
    <t>2Fe</t>
  </si>
  <si>
    <t>2FeO</t>
  </si>
  <si>
    <t>2C</t>
  </si>
  <si>
    <t>2CO</t>
  </si>
  <si>
    <t>O2 total</t>
  </si>
  <si>
    <t>Adición real</t>
  </si>
  <si>
    <t>Antracita Cesta</t>
  </si>
  <si>
    <t>Antracita Inyección</t>
  </si>
  <si>
    <t>Diferencia</t>
  </si>
  <si>
    <t>ppmO</t>
  </si>
  <si>
    <t>MgO necesario:</t>
  </si>
  <si>
    <t>Peso Colada</t>
  </si>
  <si>
    <t>Azufre</t>
  </si>
  <si>
    <t>Costo</t>
  </si>
  <si>
    <t>Costo MP</t>
  </si>
  <si>
    <t>Adición de cal cálcica</t>
  </si>
  <si>
    <t>Temperatura de líquidus de escoria es de 1500 °C, y temperatura de fin de fusión es 1640 °C</t>
  </si>
  <si>
    <t>La escoria es completamente líquida y agresiva</t>
  </si>
  <si>
    <t>Temperatura líquidus de la escoria:</t>
  </si>
  <si>
    <t>B3</t>
  </si>
  <si>
    <t>MgO sat</t>
  </si>
  <si>
    <t>FIERRO FUNDIDO</t>
  </si>
  <si>
    <t>HOJALATA</t>
  </si>
  <si>
    <t>FRAGMENTADA</t>
  </si>
  <si>
    <t>VIRUTA</t>
  </si>
  <si>
    <t>TOCHOS/BOLAS</t>
  </si>
  <si>
    <t>MULTI A FONDOS</t>
  </si>
  <si>
    <t>MULTI A TUNDISH</t>
  </si>
  <si>
    <t>IMPORTADA</t>
  </si>
  <si>
    <t>Contenido Mn en chatarra</t>
  </si>
  <si>
    <t>Contenido de Mn en Acero</t>
  </si>
  <si>
    <t>Mn</t>
  </si>
  <si>
    <t>O</t>
  </si>
  <si>
    <t>COMPACTADA</t>
  </si>
  <si>
    <t>CHATARRA TIPO A</t>
  </si>
  <si>
    <t>CHATARRA TIPO AG</t>
  </si>
  <si>
    <t>CHATARRA TIPO B</t>
  </si>
  <si>
    <t>CHATARRA TIPO C</t>
  </si>
  <si>
    <t>IMPORTADA SHEADER</t>
  </si>
  <si>
    <t>ARRABIO SOLIDO</t>
  </si>
  <si>
    <t>PESADA</t>
  </si>
  <si>
    <t>% No metal</t>
  </si>
  <si>
    <t>Rend CC3</t>
  </si>
  <si>
    <t xml:space="preserve">%Mix </t>
  </si>
  <si>
    <t>Consumo Liviana</t>
  </si>
  <si>
    <t>Consumo Pesada</t>
  </si>
  <si>
    <t>Consumo Oxicorte</t>
  </si>
  <si>
    <t>Consumo Cizalla</t>
  </si>
  <si>
    <t>Consumo Fragmentada (Imp.)</t>
  </si>
  <si>
    <t>Consumo Compactada</t>
  </si>
  <si>
    <t>CONSUMO - ARRABIO</t>
  </si>
  <si>
    <t>SUB TOTAL</t>
  </si>
  <si>
    <t>CONSUMO - Tipo A</t>
  </si>
  <si>
    <t>CONSUMO - Tipo AG/AP</t>
  </si>
  <si>
    <t>CONSUMO - Tipo B</t>
  </si>
  <si>
    <t>%Mix</t>
  </si>
  <si>
    <t>Analisis de tierra</t>
  </si>
  <si>
    <t>S</t>
  </si>
  <si>
    <t>P/C</t>
  </si>
  <si>
    <t>P2O5</t>
  </si>
  <si>
    <t>Oxicorte</t>
  </si>
  <si>
    <t>Cizallada</t>
  </si>
  <si>
    <t>HARSCO</t>
  </si>
  <si>
    <t>Contenido de Al2O3</t>
  </si>
  <si>
    <t>Contenido de MgO</t>
  </si>
  <si>
    <t>Contenido de MnO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</si>
  <si>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</si>
  <si>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</si>
  <si>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</si>
  <si>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</si>
  <si>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</si>
  <si>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</si>
  <si>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</si>
  <si>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</si>
  <si>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</si>
  <si>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Componente</t>
  </si>
  <si>
    <t>Total tierra</t>
  </si>
  <si>
    <t>T° Liquidus</t>
  </si>
  <si>
    <t>Adición de Briquetas MgO</t>
  </si>
  <si>
    <t>Contenido de Mn en Chatarra</t>
  </si>
  <si>
    <t>MnO en escoria</t>
  </si>
  <si>
    <t>Oxidación Fe</t>
  </si>
  <si>
    <t>+</t>
  </si>
  <si>
    <t>=</t>
  </si>
  <si>
    <t>O2 inyectado</t>
  </si>
  <si>
    <t>Mn en el Acero</t>
  </si>
  <si>
    <t>P en el Acero</t>
  </si>
  <si>
    <t>OxidacIón Mn</t>
  </si>
  <si>
    <t>2P</t>
  </si>
  <si>
    <t>2O</t>
  </si>
  <si>
    <t>Oxidación P</t>
  </si>
  <si>
    <t>5O</t>
  </si>
  <si>
    <t>OxidacIón Si</t>
  </si>
  <si>
    <t>Si</t>
  </si>
  <si>
    <t>S(Tierra) en el Acero</t>
  </si>
  <si>
    <t>Fe</t>
  </si>
  <si>
    <t>C</t>
  </si>
  <si>
    <t>CO</t>
  </si>
  <si>
    <t>Contenido de P2O5</t>
  </si>
  <si>
    <t>Liviana</t>
  </si>
  <si>
    <t>Compactada</t>
  </si>
  <si>
    <t>BOX 1 (HARSCO)</t>
  </si>
  <si>
    <t>BOX 2 (CIZALLA)</t>
  </si>
  <si>
    <t>BOX 3 (COMPACTADA Y OXICORTE)</t>
  </si>
  <si>
    <t>BOX 4 (FRAGMENTADA)</t>
  </si>
  <si>
    <t>BOX 5 (DIRECTA)</t>
  </si>
  <si>
    <t>Fe metal</t>
  </si>
  <si>
    <t>BOX1</t>
  </si>
  <si>
    <t>BOX2</t>
  </si>
  <si>
    <t>BOX3</t>
  </si>
  <si>
    <t>BOX4</t>
  </si>
  <si>
    <t>BOX5</t>
  </si>
  <si>
    <t>Fragmentada</t>
  </si>
  <si>
    <t>PPC</t>
  </si>
  <si>
    <t>liva</t>
  </si>
  <si>
    <t>pesa</t>
  </si>
  <si>
    <t>compaq</t>
  </si>
  <si>
    <t>OxidacIón Al</t>
  </si>
  <si>
    <t>2Al</t>
  </si>
  <si>
    <t>3O</t>
  </si>
  <si>
    <t>FeSiMn</t>
  </si>
  <si>
    <t>FeSi75</t>
  </si>
  <si>
    <t>Carburante</t>
  </si>
  <si>
    <t>Consumo O</t>
  </si>
  <si>
    <t>O en Acero</t>
  </si>
  <si>
    <t>kg</t>
  </si>
  <si>
    <t>O HC</t>
  </si>
  <si>
    <t>Calcica</t>
  </si>
  <si>
    <t>Olivina</t>
  </si>
  <si>
    <t>Adiciones en el sangrado</t>
  </si>
  <si>
    <t>Adiciones en HC</t>
  </si>
  <si>
    <t>CaF2</t>
  </si>
  <si>
    <t>Reducción Mn</t>
  </si>
  <si>
    <t>Reducción Fe</t>
  </si>
  <si>
    <t>EscoriaInicial</t>
  </si>
  <si>
    <t>Escoriafinal</t>
  </si>
  <si>
    <t>Polvos</t>
  </si>
  <si>
    <t>Refractario</t>
  </si>
  <si>
    <t>Consumo</t>
  </si>
  <si>
    <t xml:space="preserve">Desgaste </t>
  </si>
  <si>
    <t>Día</t>
  </si>
  <si>
    <t>Precio</t>
  </si>
  <si>
    <t>VOLUMEN UTIL HORNO</t>
  </si>
  <si>
    <t>VOLUMEN UTIL CESTA</t>
  </si>
  <si>
    <t>m3</t>
  </si>
  <si>
    <t>Densidad (t/m3)</t>
  </si>
  <si>
    <t>Volumen (m3)</t>
  </si>
  <si>
    <t>Volumen 1°</t>
  </si>
  <si>
    <t>Peso 1°</t>
  </si>
  <si>
    <t>Volumen 2°</t>
  </si>
  <si>
    <t>Peso 2°</t>
  </si>
  <si>
    <t>%</t>
  </si>
  <si>
    <t>Volumen 3°</t>
  </si>
  <si>
    <t>Peso 3°</t>
  </si>
  <si>
    <t>Volumen 4°</t>
  </si>
  <si>
    <t>Peso 4°</t>
  </si>
  <si>
    <t>Hoot Heel</t>
  </si>
  <si>
    <t>t</t>
  </si>
  <si>
    <t>Volumen Ocupado</t>
  </si>
  <si>
    <t>Volumen restante</t>
  </si>
  <si>
    <t>Necesidad</t>
  </si>
  <si>
    <t xml:space="preserve"> </t>
  </si>
  <si>
    <t>Rend</t>
  </si>
  <si>
    <t>Operacio</t>
  </si>
  <si>
    <t>C.T.</t>
  </si>
  <si>
    <t>palanqu</t>
  </si>
  <si>
    <t>Residuo</t>
  </si>
  <si>
    <t>Ratio (kg/t)</t>
  </si>
  <si>
    <t>Nm3</t>
  </si>
  <si>
    <t>Impurezas</t>
  </si>
  <si>
    <t>Nacion</t>
  </si>
  <si>
    <t>No Metal</t>
  </si>
  <si>
    <t>CaC2</t>
  </si>
  <si>
    <t>2 FeO</t>
  </si>
  <si>
    <t>2 Fe</t>
  </si>
  <si>
    <t>2 CO</t>
  </si>
  <si>
    <t>3 FeO</t>
  </si>
  <si>
    <t>3 Fe</t>
  </si>
  <si>
    <t>RIELES</t>
  </si>
  <si>
    <t>TUBERIA</t>
  </si>
  <si>
    <t>LINGOTERAS</t>
  </si>
  <si>
    <t>CHATARRA HARSCO</t>
  </si>
  <si>
    <t>Aceria</t>
  </si>
  <si>
    <t>P</t>
  </si>
  <si>
    <t>Cr</t>
  </si>
  <si>
    <t>Cu</t>
  </si>
  <si>
    <t>Ni</t>
  </si>
  <si>
    <t>Mo</t>
  </si>
  <si>
    <t>Oxidación Carbon</t>
  </si>
  <si>
    <t>Inicial</t>
  </si>
  <si>
    <t>Final</t>
  </si>
  <si>
    <t>C.Q.</t>
  </si>
  <si>
    <t>Cesta</t>
  </si>
  <si>
    <t>CO2</t>
  </si>
  <si>
    <t>Energía</t>
  </si>
  <si>
    <t>kWh</t>
  </si>
  <si>
    <t xml:space="preserve">Post </t>
  </si>
  <si>
    <t>Combustión</t>
  </si>
  <si>
    <t>CH4</t>
  </si>
  <si>
    <t>2O2</t>
  </si>
  <si>
    <t>Volumen 5°</t>
  </si>
  <si>
    <t>Peso 5°</t>
  </si>
  <si>
    <t>Composición Química de Mix</t>
  </si>
  <si>
    <t>2 O</t>
  </si>
  <si>
    <t>Rcc</t>
  </si>
  <si>
    <t>Rhe</t>
  </si>
  <si>
    <t>kwh/t</t>
  </si>
  <si>
    <t>consumo</t>
  </si>
  <si>
    <t>Peso a fundir</t>
  </si>
  <si>
    <t>Energia necesaria</t>
  </si>
  <si>
    <t>1cesta</t>
  </si>
  <si>
    <t>2cesta</t>
  </si>
  <si>
    <t>3cesta</t>
  </si>
  <si>
    <t>4cesta</t>
  </si>
  <si>
    <t>O cesta1</t>
  </si>
  <si>
    <t>O cesta2</t>
  </si>
  <si>
    <t>O cesta3</t>
  </si>
  <si>
    <t>O cesta4</t>
  </si>
  <si>
    <t>O2 lanza</t>
  </si>
  <si>
    <t>Energía Química</t>
  </si>
  <si>
    <t>Energía Eléctrica</t>
  </si>
  <si>
    <t>Volumen restante Horno</t>
  </si>
  <si>
    <t>Chatarra</t>
  </si>
  <si>
    <t>Química</t>
  </si>
  <si>
    <t>Eléctrica</t>
  </si>
  <si>
    <t>MVA</t>
  </si>
  <si>
    <t>KWh</t>
  </si>
  <si>
    <t>min</t>
  </si>
  <si>
    <t>Pon</t>
  </si>
  <si>
    <t>Potencia media</t>
  </si>
  <si>
    <t>PQ Importada</t>
  </si>
  <si>
    <t>GAP</t>
  </si>
  <si>
    <t>Ferros</t>
  </si>
  <si>
    <t>CIZALLA</t>
  </si>
  <si>
    <t>Gases</t>
  </si>
  <si>
    <t>ALTO RESIDUAL</t>
  </si>
  <si>
    <t>ARRABIO</t>
  </si>
  <si>
    <t>´+</t>
  </si>
  <si>
    <t>´=</t>
  </si>
  <si>
    <t>Total SiO2</t>
  </si>
  <si>
    <t>CHATARRA HARSO</t>
  </si>
  <si>
    <t>Densidad cesta</t>
  </si>
  <si>
    <t>Energía kwh</t>
  </si>
  <si>
    <t>Volumen necesario</t>
  </si>
  <si>
    <t>KWh/t</t>
  </si>
  <si>
    <t>Poff</t>
  </si>
  <si>
    <t>TTT</t>
  </si>
  <si>
    <t>Productividad (t/h)</t>
  </si>
  <si>
    <t>(min)</t>
  </si>
  <si>
    <t>N° Coladas</t>
  </si>
  <si>
    <t>Tonelaje</t>
  </si>
  <si>
    <t>Potencia Promedio</t>
  </si>
  <si>
    <t>Energía para fundir el Mix de Chatarra</t>
  </si>
  <si>
    <t>PESADA IMPORTADA</t>
  </si>
  <si>
    <t>Densidad</t>
  </si>
  <si>
    <t>Inventario</t>
  </si>
  <si>
    <t>Lifeline</t>
  </si>
  <si>
    <t>Potencia</t>
  </si>
  <si>
    <t>|</t>
  </si>
  <si>
    <t>Max</t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</si>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</sst>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0\ &quot;kg&quot;"/>
    <numFmt numFmtId="167" formatCode="0.0\ &quot;kg&quot;"/>
    <numFmt numFmtId="168" formatCode="0\ &quot;Nm3&quot;"/>
    <numFmt numFmtId="169" formatCode="0.0%"/>
    <numFmt numFmtId="170" formatCode="0.000"/>
    <numFmt numFmtId="171" formatCode="0.0\ &quot;t&quot;"/>
    <numFmt numFmtId="172" formatCode="0.0000"/>
    <numFmt numFmtId="173" formatCode="0.0\ &quot;Nm3&quot;"/>
    <numFmt numFmtId="174" formatCode="0\ &quot;°C&quot;"/>
    <numFmt numFmtId="175" formatCode="0.000%"/>
    <numFmt numFmtId="176" formatCode="_ * #,##0_ ;_ * \-#,##0_ ;_ * &quot;-&quot;??_ ;_ @_ "/>
    <numFmt numFmtId="177" formatCode="_ * #,##0.0_ ;_ * \-#,##0.0_ ;_ * &quot;-&quot;??_ ;_ @_ 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i/>
      <sz val="6"/>
      <color rgb="FFFF0000"/>
      <name val="Calibri"/>
      <family val="2"/>
      <scheme val="minor"/>
    </font>
    <font>
      <i/>
      <sz val="6"/>
      <color rgb="FF0070C0"/>
      <name val="Calibri"/>
      <family val="2"/>
      <scheme val="minor"/>
    </font>
    <font>
      <sz val="10"/>
      <color theme="1"/>
      <name val="Arial Narrow"/>
      <family val="2"/>
    </font>
    <font>
      <b/>
      <i/>
      <sz val="10"/>
      <color rgb="FFFF0000"/>
      <name val="Arial Narrow"/>
      <family val="2"/>
    </font>
    <font>
      <b/>
      <sz val="10"/>
      <color rgb="FFFFFF00"/>
      <name val="Arial Narrow"/>
      <family val="2"/>
    </font>
    <font>
      <b/>
      <u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0"/>
      <color rgb="FF0070C0"/>
      <name val="Arial Narrow"/>
      <family val="2"/>
    </font>
    <font>
      <b/>
      <i/>
      <sz val="10"/>
      <color theme="1"/>
      <name val="Arial Narrow"/>
      <family val="2"/>
    </font>
    <font>
      <u/>
      <sz val="10"/>
      <color rgb="FF002060"/>
      <name val="Arial Narrow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FF00"/>
      <name val="Arial Narrow"/>
      <family val="2"/>
    </font>
    <font>
      <b/>
      <sz val="10"/>
      <color rgb="FF002060"/>
      <name val="Arial Narrow"/>
      <family val="2"/>
    </font>
    <font>
      <b/>
      <i/>
      <sz val="10"/>
      <color rgb="FF0070C0"/>
      <name val="Arial Narrow"/>
      <family val="2"/>
    </font>
    <font>
      <b/>
      <i/>
      <sz val="10"/>
      <color rgb="FFFFFF00"/>
      <name val="Arial Narrow"/>
      <family val="2"/>
    </font>
    <font>
      <sz val="10"/>
      <color rgb="FFFFFF00"/>
      <name val="Arial Narrow"/>
      <family val="2"/>
    </font>
    <font>
      <b/>
      <sz val="8"/>
      <color indexed="81"/>
      <name val="Tahoma"/>
      <family val="2"/>
    </font>
    <font>
      <sz val="12"/>
      <color rgb="FFFFFF00"/>
      <name val="Arial Narrow"/>
      <family val="2"/>
    </font>
    <font>
      <b/>
      <sz val="10"/>
      <color theme="0" tint="-4.9989318521683403E-2"/>
      <name val="Arial Narrow"/>
      <family val="2"/>
    </font>
    <font>
      <b/>
      <u/>
      <sz val="10"/>
      <color theme="1"/>
      <name val="Arial Narrow"/>
      <family val="2"/>
    </font>
    <font>
      <b/>
      <sz val="11"/>
      <color rgb="FF002060"/>
      <name val="Arial Narrow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u/>
      <sz val="10"/>
      <color theme="3" tint="0.39997558519241921"/>
      <name val="Arial Narrow"/>
      <family val="2"/>
    </font>
    <font>
      <b/>
      <u/>
      <sz val="10"/>
      <color rgb="FFC00000"/>
      <name val="Arial Narrow"/>
      <family val="2"/>
    </font>
    <font>
      <b/>
      <sz val="10"/>
      <color rgb="FF0070C0"/>
      <name val="Arial Narrow"/>
      <family val="2"/>
    </font>
    <font>
      <sz val="8"/>
      <color indexed="81"/>
      <name val="Tahoma"/>
      <family val="2"/>
    </font>
    <font>
      <b/>
      <u val="singleAccounting"/>
      <sz val="12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u/>
      <sz val="11"/>
      <color theme="1"/>
      <name val="Arial Narrow"/>
      <family val="2"/>
    </font>
    <font>
      <u/>
      <sz val="11"/>
      <color theme="4" tint="-0.499984740745262"/>
      <name val="Calibri"/>
      <family val="2"/>
      <scheme val="minor"/>
    </font>
    <font>
      <sz val="12"/>
      <color theme="1"/>
      <name val="Barlow Light"/>
    </font>
    <font>
      <sz val="14"/>
      <color rgb="FF0070C0"/>
      <name val="Barlow Light"/>
    </font>
    <font>
      <sz val="12"/>
      <color rgb="FF0070C0"/>
      <name val="Barlow Light"/>
    </font>
    <font>
      <b/>
      <sz val="16"/>
      <color rgb="FF0070C0"/>
      <name val="Barlow Light"/>
    </font>
    <font>
      <b/>
      <sz val="12"/>
      <color rgb="FF0070C0"/>
      <name val="Barlow Light"/>
    </font>
    <font>
      <sz val="11"/>
      <color rgb="FF0070C0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00B050"/>
      </left>
      <right/>
      <top style="double">
        <color rgb="FF00B050"/>
      </top>
      <bottom style="double">
        <color rgb="FF00B050"/>
      </bottom>
      <diagonal/>
    </border>
    <border>
      <left/>
      <right/>
      <top style="double">
        <color rgb="FF00B050"/>
      </top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uble">
        <color rgb="FF00B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9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7" fillId="3" borderId="0" xfId="0" applyFont="1" applyFill="1" applyAlignment="1">
      <alignment horizontal="center"/>
    </xf>
    <xf numFmtId="169" fontId="7" fillId="3" borderId="0" xfId="1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10" fillId="4" borderId="2" xfId="2" applyFont="1" applyFill="1" applyBorder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2" xfId="2" applyFont="1" applyFill="1" applyBorder="1" applyAlignment="1">
      <alignment vertical="center"/>
    </xf>
    <xf numFmtId="165" fontId="11" fillId="4" borderId="1" xfId="2" applyNumberFormat="1" applyFont="1" applyFill="1" applyBorder="1" applyAlignment="1">
      <alignment vertical="center"/>
    </xf>
    <xf numFmtId="0" fontId="10" fillId="4" borderId="2" xfId="2" applyFont="1" applyFill="1" applyBorder="1" applyAlignment="1">
      <alignment vertical="center" wrapText="1"/>
    </xf>
    <xf numFmtId="0" fontId="10" fillId="4" borderId="0" xfId="2" applyFont="1" applyFill="1" applyBorder="1" applyAlignment="1">
      <alignment vertical="center" wrapText="1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center"/>
    </xf>
    <xf numFmtId="169" fontId="14" fillId="0" borderId="0" xfId="1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72" fontId="14" fillId="0" borderId="0" xfId="0" applyNumberFormat="1" applyFont="1" applyAlignment="1">
      <alignment horizontal="center"/>
    </xf>
    <xf numFmtId="170" fontId="14" fillId="0" borderId="0" xfId="0" applyNumberFormat="1" applyFont="1" applyAlignment="1">
      <alignment horizontal="center"/>
    </xf>
    <xf numFmtId="0" fontId="17" fillId="2" borderId="0" xfId="0" applyFont="1" applyFill="1" applyAlignment="1">
      <alignment horizontal="center"/>
    </xf>
    <xf numFmtId="165" fontId="17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0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168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21" fillId="3" borderId="0" xfId="0" applyFont="1" applyFill="1" applyAlignment="1">
      <alignment horizontal="center"/>
    </xf>
    <xf numFmtId="169" fontId="21" fillId="3" borderId="0" xfId="1" applyNumberFormat="1" applyFont="1" applyFill="1" applyAlignment="1">
      <alignment horizontal="center"/>
    </xf>
    <xf numFmtId="0" fontId="22" fillId="6" borderId="0" xfId="0" applyFont="1" applyFill="1" applyAlignment="1">
      <alignment horizontal="left"/>
    </xf>
    <xf numFmtId="0" fontId="22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10" fontId="14" fillId="0" borderId="1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3" fillId="10" borderId="0" xfId="0" applyFont="1" applyFill="1" applyAlignment="1">
      <alignment horizontal="center"/>
    </xf>
    <xf numFmtId="173" fontId="16" fillId="5" borderId="0" xfId="0" applyNumberFormat="1" applyFont="1" applyFill="1" applyAlignment="1">
      <alignment horizontal="center"/>
    </xf>
    <xf numFmtId="171" fontId="26" fillId="5" borderId="0" xfId="0" applyNumberFormat="1" applyFont="1" applyFill="1" applyAlignment="1">
      <alignment horizontal="center"/>
    </xf>
    <xf numFmtId="0" fontId="27" fillId="9" borderId="1" xfId="0" applyFont="1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4" fillId="2" borderId="1" xfId="1" applyNumberFormat="1" applyFont="1" applyFill="1" applyBorder="1" applyAlignment="1">
      <alignment horizontal="center"/>
    </xf>
    <xf numFmtId="166" fontId="15" fillId="2" borderId="0" xfId="0" applyNumberFormat="1" applyFont="1" applyFill="1" applyAlignment="1">
      <alignment horizontal="center"/>
    </xf>
    <xf numFmtId="166" fontId="29" fillId="5" borderId="0" xfId="0" applyNumberFormat="1" applyFont="1" applyFill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166" fontId="14" fillId="0" borderId="6" xfId="0" applyNumberFormat="1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7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168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0" fontId="14" fillId="0" borderId="6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65" fontId="14" fillId="0" borderId="9" xfId="0" applyNumberFormat="1" applyFont="1" applyBorder="1" applyAlignment="1">
      <alignment horizontal="center"/>
    </xf>
    <xf numFmtId="165" fontId="14" fillId="0" borderId="10" xfId="0" applyNumberFormat="1" applyFont="1" applyBorder="1" applyAlignment="1">
      <alignment horizontal="center"/>
    </xf>
    <xf numFmtId="166" fontId="29" fillId="5" borderId="6" xfId="0" applyNumberFormat="1" applyFont="1" applyFill="1" applyBorder="1" applyAlignment="1">
      <alignment horizontal="center"/>
    </xf>
    <xf numFmtId="166" fontId="29" fillId="5" borderId="7" xfId="0" applyNumberFormat="1" applyFont="1" applyFill="1" applyBorder="1" applyAlignment="1">
      <alignment horizontal="center"/>
    </xf>
    <xf numFmtId="0" fontId="14" fillId="0" borderId="0" xfId="0" quotePrefix="1" applyFont="1" applyBorder="1" applyAlignment="1">
      <alignment horizontal="center"/>
    </xf>
    <xf numFmtId="2" fontId="28" fillId="9" borderId="1" xfId="0" applyNumberFormat="1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/>
    </xf>
    <xf numFmtId="167" fontId="30" fillId="11" borderId="1" xfId="0" applyNumberFormat="1" applyFont="1" applyFill="1" applyBorder="1" applyAlignment="1">
      <alignment horizontal="center"/>
    </xf>
    <xf numFmtId="168" fontId="14" fillId="0" borderId="0" xfId="0" applyNumberFormat="1" applyFont="1" applyBorder="1" applyAlignment="1">
      <alignment horizontal="center"/>
    </xf>
    <xf numFmtId="0" fontId="32" fillId="11" borderId="0" xfId="0" applyFont="1" applyFill="1" applyAlignment="1">
      <alignment horizontal="center"/>
    </xf>
    <xf numFmtId="165" fontId="32" fillId="11" borderId="0" xfId="0" applyNumberFormat="1" applyFont="1" applyFill="1" applyAlignment="1">
      <alignment horizontal="center"/>
    </xf>
    <xf numFmtId="165" fontId="25" fillId="2" borderId="2" xfId="0" applyNumberFormat="1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/>
    </xf>
    <xf numFmtId="174" fontId="25" fillId="2" borderId="2" xfId="0" applyNumberFormat="1" applyFont="1" applyFill="1" applyBorder="1" applyAlignment="1">
      <alignment horizontal="center"/>
    </xf>
    <xf numFmtId="169" fontId="14" fillId="0" borderId="1" xfId="1" applyNumberFormat="1" applyFont="1" applyBorder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175" fontId="14" fillId="0" borderId="0" xfId="1" applyNumberFormat="1" applyFont="1" applyAlignment="1">
      <alignment horizontal="center"/>
    </xf>
    <xf numFmtId="1" fontId="0" fillId="0" borderId="0" xfId="0" applyNumberFormat="1"/>
    <xf numFmtId="165" fontId="0" fillId="0" borderId="0" xfId="0" applyNumberFormat="1"/>
    <xf numFmtId="167" fontId="14" fillId="0" borderId="0" xfId="0" applyNumberFormat="1" applyFont="1" applyBorder="1" applyAlignment="1">
      <alignment horizontal="center"/>
    </xf>
    <xf numFmtId="169" fontId="27" fillId="12" borderId="0" xfId="0" applyNumberFormat="1" applyFont="1" applyFill="1" applyAlignment="1">
      <alignment horizontal="center"/>
    </xf>
    <xf numFmtId="165" fontId="27" fillId="12" borderId="0" xfId="0" applyNumberFormat="1" applyFont="1" applyFill="1" applyAlignment="1">
      <alignment horizontal="center"/>
    </xf>
    <xf numFmtId="0" fontId="34" fillId="0" borderId="0" xfId="0" applyFont="1" applyAlignment="1">
      <alignment horizontal="center"/>
    </xf>
    <xf numFmtId="165" fontId="24" fillId="12" borderId="0" xfId="0" applyNumberFormat="1" applyFont="1" applyFill="1" applyAlignment="1">
      <alignment horizontal="center"/>
    </xf>
    <xf numFmtId="9" fontId="14" fillId="0" borderId="0" xfId="1" applyFont="1" applyAlignment="1">
      <alignment horizontal="center"/>
    </xf>
    <xf numFmtId="0" fontId="34" fillId="2" borderId="0" xfId="0" applyFont="1" applyFill="1" applyAlignment="1">
      <alignment horizontal="center"/>
    </xf>
    <xf numFmtId="165" fontId="14" fillId="2" borderId="0" xfId="0" applyNumberFormat="1" applyFont="1" applyFill="1" applyAlignment="1">
      <alignment horizontal="center"/>
    </xf>
    <xf numFmtId="165" fontId="35" fillId="13" borderId="0" xfId="0" applyNumberFormat="1" applyFont="1" applyFill="1" applyAlignment="1">
      <alignment horizontal="center"/>
    </xf>
    <xf numFmtId="0" fontId="36" fillId="0" borderId="0" xfId="0" applyFont="1"/>
    <xf numFmtId="165" fontId="36" fillId="0" borderId="0" xfId="0" applyNumberFormat="1" applyFont="1" applyAlignment="1">
      <alignment horizontal="center"/>
    </xf>
    <xf numFmtId="0" fontId="37" fillId="0" borderId="0" xfId="0" applyFont="1"/>
    <xf numFmtId="165" fontId="37" fillId="0" borderId="0" xfId="0" applyNumberFormat="1" applyFont="1" applyAlignment="1">
      <alignment horizontal="center"/>
    </xf>
    <xf numFmtId="0" fontId="14" fillId="14" borderId="0" xfId="0" applyFont="1" applyFill="1" applyAlignment="1">
      <alignment horizontal="left"/>
    </xf>
    <xf numFmtId="0" fontId="14" fillId="13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4" fillId="15" borderId="0" xfId="0" applyFont="1" applyFill="1" applyAlignment="1">
      <alignment horizontal="left"/>
    </xf>
    <xf numFmtId="0" fontId="14" fillId="16" borderId="0" xfId="0" applyFont="1" applyFill="1" applyAlignment="1">
      <alignment horizontal="left"/>
    </xf>
    <xf numFmtId="0" fontId="14" fillId="17" borderId="0" xfId="0" applyFont="1" applyFill="1" applyAlignment="1">
      <alignment horizontal="left"/>
    </xf>
    <xf numFmtId="0" fontId="14" fillId="18" borderId="0" xfId="0" applyFont="1" applyFill="1" applyAlignment="1">
      <alignment horizontal="left"/>
    </xf>
    <xf numFmtId="165" fontId="14" fillId="0" borderId="0" xfId="0" applyNumberFormat="1" applyFont="1" applyAlignment="1">
      <alignment horizontal="left"/>
    </xf>
    <xf numFmtId="165" fontId="38" fillId="2" borderId="0" xfId="0" applyNumberFormat="1" applyFont="1" applyFill="1" applyAlignment="1">
      <alignment horizontal="center"/>
    </xf>
    <xf numFmtId="165" fontId="25" fillId="19" borderId="0" xfId="0" applyNumberFormat="1" applyFont="1" applyFill="1" applyAlignment="1">
      <alignment horizontal="center"/>
    </xf>
    <xf numFmtId="164" fontId="0" fillId="0" borderId="0" xfId="4" applyFont="1"/>
    <xf numFmtId="164" fontId="0" fillId="0" borderId="0" xfId="0" applyNumberFormat="1"/>
    <xf numFmtId="176" fontId="0" fillId="0" borderId="0" xfId="4" applyNumberFormat="1" applyFont="1"/>
    <xf numFmtId="169" fontId="0" fillId="0" borderId="0" xfId="1" applyNumberFormat="1" applyFont="1"/>
    <xf numFmtId="0" fontId="39" fillId="2" borderId="0" xfId="0" applyFont="1" applyFill="1" applyAlignment="1">
      <alignment horizontal="center"/>
    </xf>
    <xf numFmtId="165" fontId="39" fillId="2" borderId="0" xfId="0" applyNumberFormat="1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165" fontId="40" fillId="2" borderId="0" xfId="0" applyNumberFormat="1" applyFont="1" applyFill="1" applyAlignment="1">
      <alignment horizontal="center"/>
    </xf>
    <xf numFmtId="0" fontId="24" fillId="0" borderId="0" xfId="0" applyFont="1" applyAlignment="1">
      <alignment horizontal="center"/>
    </xf>
    <xf numFmtId="166" fontId="24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166" fontId="41" fillId="0" borderId="0" xfId="0" applyNumberFormat="1" applyFont="1" applyAlignment="1">
      <alignment horizontal="center"/>
    </xf>
    <xf numFmtId="0" fontId="41" fillId="2" borderId="0" xfId="0" applyFont="1" applyFill="1" applyAlignment="1">
      <alignment horizontal="center"/>
    </xf>
    <xf numFmtId="165" fontId="41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20" fontId="0" fillId="0" borderId="0" xfId="0" applyNumberFormat="1"/>
    <xf numFmtId="0" fontId="0" fillId="0" borderId="0" xfId="0" applyNumberFormat="1"/>
    <xf numFmtId="168" fontId="14" fillId="0" borderId="10" xfId="0" applyNumberFormat="1" applyFont="1" applyBorder="1" applyAlignment="1">
      <alignment horizontal="center"/>
    </xf>
    <xf numFmtId="2" fontId="27" fillId="12" borderId="0" xfId="0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164" fontId="43" fillId="0" borderId="0" xfId="4" applyFont="1"/>
    <xf numFmtId="2" fontId="0" fillId="0" borderId="0" xfId="0" applyNumberFormat="1"/>
    <xf numFmtId="2" fontId="44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/>
    </xf>
    <xf numFmtId="2" fontId="14" fillId="0" borderId="15" xfId="0" applyNumberFormat="1" applyFont="1" applyBorder="1" applyAlignment="1">
      <alignment horizontal="center"/>
    </xf>
    <xf numFmtId="170" fontId="14" fillId="0" borderId="15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70" fontId="14" fillId="0" borderId="17" xfId="0" applyNumberFormat="1" applyFont="1" applyBorder="1" applyAlignment="1">
      <alignment horizontal="center"/>
    </xf>
    <xf numFmtId="2" fontId="14" fillId="0" borderId="18" xfId="0" applyNumberFormat="1" applyFont="1" applyBorder="1" applyAlignment="1">
      <alignment horizontal="center"/>
    </xf>
    <xf numFmtId="170" fontId="14" fillId="0" borderId="18" xfId="0" applyNumberFormat="1" applyFont="1" applyBorder="1" applyAlignment="1">
      <alignment horizontal="center"/>
    </xf>
    <xf numFmtId="170" fontId="14" fillId="0" borderId="19" xfId="0" applyNumberFormat="1" applyFont="1" applyBorder="1" applyAlignment="1">
      <alignment horizontal="center"/>
    </xf>
    <xf numFmtId="0" fontId="45" fillId="0" borderId="20" xfId="0" applyFont="1" applyBorder="1" applyAlignment="1">
      <alignment horizontal="center"/>
    </xf>
    <xf numFmtId="0" fontId="45" fillId="0" borderId="21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165" fontId="38" fillId="2" borderId="1" xfId="0" applyNumberFormat="1" applyFont="1" applyFill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9" fontId="14" fillId="0" borderId="1" xfId="1" applyFont="1" applyBorder="1" applyAlignment="1">
      <alignment horizontal="center"/>
    </xf>
    <xf numFmtId="165" fontId="14" fillId="2" borderId="1" xfId="0" applyNumberFormat="1" applyFont="1" applyFill="1" applyBorder="1" applyAlignment="1">
      <alignment horizontal="center"/>
    </xf>
    <xf numFmtId="164" fontId="0" fillId="0" borderId="1" xfId="4" applyFont="1" applyBorder="1"/>
    <xf numFmtId="0" fontId="14" fillId="15" borderId="1" xfId="0" applyFont="1" applyFill="1" applyBorder="1" applyAlignment="1">
      <alignment horizontal="left"/>
    </xf>
    <xf numFmtId="0" fontId="14" fillId="14" borderId="1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left"/>
    </xf>
    <xf numFmtId="0" fontId="14" fillId="16" borderId="1" xfId="0" applyFont="1" applyFill="1" applyBorder="1" applyAlignment="1">
      <alignment horizontal="left"/>
    </xf>
    <xf numFmtId="0" fontId="14" fillId="17" borderId="1" xfId="0" applyFont="1" applyFill="1" applyBorder="1" applyAlignment="1">
      <alignment horizontal="left"/>
    </xf>
    <xf numFmtId="0" fontId="14" fillId="13" borderId="1" xfId="0" applyFont="1" applyFill="1" applyBorder="1" applyAlignment="1">
      <alignment horizontal="left"/>
    </xf>
    <xf numFmtId="171" fontId="26" fillId="5" borderId="1" xfId="0" applyNumberFormat="1" applyFont="1" applyFill="1" applyBorder="1" applyAlignment="1">
      <alignment horizontal="center"/>
    </xf>
    <xf numFmtId="169" fontId="27" fillId="12" borderId="1" xfId="0" applyNumberFormat="1" applyFont="1" applyFill="1" applyBorder="1" applyAlignment="1">
      <alignment horizontal="center"/>
    </xf>
    <xf numFmtId="2" fontId="27" fillId="12" borderId="1" xfId="0" applyNumberFormat="1" applyFont="1" applyFill="1" applyBorder="1" applyAlignment="1">
      <alignment horizontal="center"/>
    </xf>
    <xf numFmtId="165" fontId="27" fillId="12" borderId="1" xfId="0" applyNumberFormat="1" applyFont="1" applyFill="1" applyBorder="1" applyAlignment="1">
      <alignment horizontal="center"/>
    </xf>
    <xf numFmtId="165" fontId="24" fillId="12" borderId="1" xfId="0" applyNumberFormat="1" applyFont="1" applyFill="1" applyBorder="1" applyAlignment="1">
      <alignment horizontal="center"/>
    </xf>
    <xf numFmtId="165" fontId="35" fillId="13" borderId="1" xfId="0" applyNumberFormat="1" applyFont="1" applyFill="1" applyBorder="1" applyAlignment="1">
      <alignment horizontal="center"/>
    </xf>
    <xf numFmtId="164" fontId="43" fillId="0" borderId="1" xfId="4" applyFont="1" applyBorder="1"/>
    <xf numFmtId="0" fontId="22" fillId="0" borderId="0" xfId="0" applyFont="1" applyAlignment="1">
      <alignment horizontal="center"/>
    </xf>
    <xf numFmtId="168" fontId="22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64" fontId="0" fillId="0" borderId="0" xfId="4" applyFont="1" applyFill="1" applyBorder="1"/>
    <xf numFmtId="1" fontId="14" fillId="0" borderId="1" xfId="0" applyNumberFormat="1" applyFont="1" applyBorder="1" applyAlignment="1">
      <alignment horizontal="center"/>
    </xf>
    <xf numFmtId="9" fontId="17" fillId="2" borderId="0" xfId="1" applyNumberFormat="1" applyFont="1" applyFill="1" applyAlignment="1">
      <alignment horizontal="center"/>
    </xf>
    <xf numFmtId="177" fontId="0" fillId="0" borderId="0" xfId="0" applyNumberFormat="1"/>
    <xf numFmtId="0" fontId="46" fillId="2" borderId="0" xfId="0" applyFont="1" applyFill="1" applyAlignment="1">
      <alignment horizontal="center"/>
    </xf>
    <xf numFmtId="0" fontId="34" fillId="14" borderId="1" xfId="0" applyFont="1" applyFill="1" applyBorder="1" applyAlignment="1">
      <alignment horizontal="center"/>
    </xf>
    <xf numFmtId="9" fontId="14" fillId="0" borderId="0" xfId="1" applyFont="1" applyBorder="1" applyAlignment="1">
      <alignment horizontal="center"/>
    </xf>
    <xf numFmtId="0" fontId="0" fillId="20" borderId="0" xfId="0" applyFill="1"/>
    <xf numFmtId="0" fontId="49" fillId="22" borderId="24" xfId="0" applyFont="1" applyFill="1" applyBorder="1"/>
    <xf numFmtId="0" fontId="49" fillId="22" borderId="0" xfId="0" applyFont="1" applyFill="1" applyBorder="1"/>
    <xf numFmtId="1" fontId="49" fillId="22" borderId="0" xfId="0" applyNumberFormat="1" applyFont="1" applyFill="1" applyBorder="1"/>
    <xf numFmtId="0" fontId="52" fillId="22" borderId="25" xfId="0" applyFont="1" applyFill="1" applyBorder="1"/>
    <xf numFmtId="176" fontId="49" fillId="22" borderId="0" xfId="4" applyNumberFormat="1" applyFont="1" applyFill="1" applyBorder="1"/>
    <xf numFmtId="0" fontId="49" fillId="22" borderId="25" xfId="0" applyFont="1" applyFill="1" applyBorder="1"/>
    <xf numFmtId="0" fontId="49" fillId="22" borderId="0" xfId="0" applyFont="1" applyFill="1" applyBorder="1" applyAlignment="1">
      <alignment horizontal="center"/>
    </xf>
    <xf numFmtId="0" fontId="49" fillId="22" borderId="0" xfId="0" applyFont="1" applyFill="1" applyBorder="1" applyAlignment="1">
      <alignment horizontal="right"/>
    </xf>
    <xf numFmtId="0" fontId="52" fillId="22" borderId="24" xfId="0" applyFont="1" applyFill="1" applyBorder="1"/>
    <xf numFmtId="0" fontId="52" fillId="22" borderId="0" xfId="0" applyFont="1" applyFill="1" applyBorder="1"/>
    <xf numFmtId="0" fontId="49" fillId="22" borderId="29" xfId="0" applyNumberFormat="1" applyFont="1" applyFill="1" applyBorder="1" applyAlignment="1">
      <alignment horizontal="right"/>
    </xf>
    <xf numFmtId="0" fontId="49" fillId="22" borderId="29" xfId="0" applyNumberFormat="1" applyFont="1" applyFill="1" applyBorder="1" applyAlignment="1">
      <alignment horizontal="center"/>
    </xf>
    <xf numFmtId="0" fontId="0" fillId="22" borderId="24" xfId="0" applyFill="1" applyBorder="1"/>
    <xf numFmtId="0" fontId="0" fillId="22" borderId="0" xfId="0" applyFill="1" applyBorder="1"/>
    <xf numFmtId="1" fontId="47" fillId="22" borderId="0" xfId="0" applyNumberFormat="1" applyFont="1" applyFill="1" applyBorder="1" applyAlignment="1">
      <alignment horizontal="center"/>
    </xf>
    <xf numFmtId="0" fontId="0" fillId="22" borderId="25" xfId="0" applyFill="1" applyBorder="1"/>
    <xf numFmtId="0" fontId="0" fillId="22" borderId="26" xfId="0" applyFill="1" applyBorder="1"/>
    <xf numFmtId="0" fontId="0" fillId="22" borderId="11" xfId="0" applyFill="1" applyBorder="1"/>
    <xf numFmtId="0" fontId="0" fillId="22" borderId="12" xfId="0" applyFill="1" applyBorder="1"/>
    <xf numFmtId="0" fontId="50" fillId="21" borderId="30" xfId="0" applyFont="1" applyFill="1" applyBorder="1"/>
    <xf numFmtId="0" fontId="51" fillId="21" borderId="31" xfId="0" applyFont="1" applyFill="1" applyBorder="1"/>
    <xf numFmtId="177" fontId="51" fillId="21" borderId="31" xfId="0" applyNumberFormat="1" applyFont="1" applyFill="1" applyBorder="1"/>
    <xf numFmtId="1" fontId="53" fillId="0" borderId="1" xfId="0" applyNumberFormat="1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4" fontId="0" fillId="0" borderId="27" xfId="4" applyFont="1" applyBorder="1"/>
    <xf numFmtId="0" fontId="49" fillId="9" borderId="22" xfId="0" applyFont="1" applyFill="1" applyBorder="1"/>
    <xf numFmtId="176" fontId="49" fillId="9" borderId="23" xfId="4" applyNumberFormat="1" applyFont="1" applyFill="1" applyBorder="1"/>
    <xf numFmtId="0" fontId="47" fillId="20" borderId="27" xfId="0" applyFont="1" applyFill="1" applyBorder="1"/>
    <xf numFmtId="1" fontId="47" fillId="20" borderId="2" xfId="0" applyNumberFormat="1" applyFont="1" applyFill="1" applyBorder="1"/>
    <xf numFmtId="0" fontId="49" fillId="9" borderId="26" xfId="0" applyFont="1" applyFill="1" applyBorder="1"/>
    <xf numFmtId="171" fontId="49" fillId="9" borderId="12" xfId="0" applyNumberFormat="1" applyFont="1" applyFill="1" applyBorder="1" applyAlignment="1">
      <alignment horizontal="right"/>
    </xf>
    <xf numFmtId="1" fontId="17" fillId="2" borderId="0" xfId="0" applyNumberFormat="1" applyFont="1" applyFill="1" applyAlignment="1">
      <alignment horizontal="center"/>
    </xf>
    <xf numFmtId="165" fontId="49" fillId="22" borderId="0" xfId="0" applyNumberFormat="1" applyFont="1" applyFill="1" applyBorder="1" applyAlignment="1">
      <alignment horizontal="center"/>
    </xf>
    <xf numFmtId="165" fontId="49" fillId="22" borderId="29" xfId="0" applyNumberFormat="1" applyFont="1" applyFill="1" applyBorder="1" applyAlignment="1">
      <alignment horizontal="center"/>
    </xf>
    <xf numFmtId="165" fontId="50" fillId="21" borderId="32" xfId="0" applyNumberFormat="1" applyFont="1" applyFill="1" applyBorder="1" applyAlignment="1">
      <alignment horizontal="center"/>
    </xf>
    <xf numFmtId="0" fontId="0" fillId="0" borderId="0" xfId="0" applyFill="1"/>
    <xf numFmtId="0" fontId="14" fillId="0" borderId="1" xfId="0" applyNumberFormat="1" applyFont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2" fontId="54" fillId="0" borderId="0" xfId="0" applyNumberFormat="1" applyFont="1" applyAlignment="1">
      <alignment horizontal="center"/>
    </xf>
    <xf numFmtId="170" fontId="54" fillId="0" borderId="0" xfId="0" applyNumberFormat="1" applyFont="1" applyAlignment="1">
      <alignment horizontal="center"/>
    </xf>
    <xf numFmtId="2" fontId="14" fillId="0" borderId="1" xfId="1" applyNumberFormat="1" applyFont="1" applyBorder="1" applyAlignment="1">
      <alignment horizontal="center"/>
    </xf>
    <xf numFmtId="2" fontId="34" fillId="0" borderId="1" xfId="0" applyNumberFormat="1" applyFont="1" applyBorder="1" applyAlignment="1">
      <alignment horizontal="center"/>
    </xf>
    <xf numFmtId="165" fontId="55" fillId="19" borderId="1" xfId="0" applyNumberFormat="1" applyFont="1" applyFill="1" applyBorder="1" applyAlignment="1">
      <alignment horizontal="center"/>
    </xf>
    <xf numFmtId="2" fontId="36" fillId="0" borderId="0" xfId="0" applyNumberFormat="1" applyFont="1" applyAlignment="1">
      <alignment horizontal="center"/>
    </xf>
    <xf numFmtId="2" fontId="24" fillId="12" borderId="1" xfId="0" applyNumberFormat="1" applyFont="1" applyFill="1" applyBorder="1" applyAlignment="1">
      <alignment horizontal="center"/>
    </xf>
    <xf numFmtId="169" fontId="14" fillId="14" borderId="1" xfId="1" applyNumberFormat="1" applyFont="1" applyFill="1" applyBorder="1" applyAlignment="1">
      <alignment horizontal="center"/>
    </xf>
    <xf numFmtId="43" fontId="0" fillId="0" borderId="0" xfId="0" applyNumberFormat="1"/>
    <xf numFmtId="0" fontId="0" fillId="0" borderId="0" xfId="0" applyBorder="1"/>
    <xf numFmtId="2" fontId="14" fillId="0" borderId="0" xfId="0" applyNumberFormat="1" applyFont="1" applyBorder="1" applyAlignment="1">
      <alignment horizontal="center"/>
    </xf>
    <xf numFmtId="0" fontId="34" fillId="0" borderId="33" xfId="0" applyFont="1" applyBorder="1" applyAlignment="1">
      <alignment horizontal="center"/>
    </xf>
    <xf numFmtId="2" fontId="34" fillId="0" borderId="33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8" fillId="12" borderId="27" xfId="0" applyFont="1" applyFill="1" applyBorder="1" applyAlignment="1">
      <alignment horizontal="center"/>
    </xf>
    <xf numFmtId="0" fontId="48" fillId="12" borderId="28" xfId="0" applyFont="1" applyFill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23" fillId="11" borderId="0" xfId="0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14" fillId="0" borderId="3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33" fillId="11" borderId="11" xfId="0" applyFont="1" applyFill="1" applyBorder="1" applyAlignment="1">
      <alignment horizontal="center" vertical="center"/>
    </xf>
    <xf numFmtId="0" fontId="33" fillId="11" borderId="1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5">
    <cellStyle name="Millares" xfId="4" builtinId="3"/>
    <cellStyle name="Normal" xfId="0" builtinId="0"/>
    <cellStyle name="Normal 2" xfId="2" xr:uid="{00000000-0005-0000-0000-000002000000}"/>
    <cellStyle name="Porcentaje" xfId="1" builtinId="5"/>
    <cellStyle name="Porcentual 2" xfId="3" xr:uid="{00000000-0005-0000-0000-000004000000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01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C-49CA-A904-E586AC70B20A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2C-49CA-A904-E586AC70B20A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72C-49CA-A904-E586AC70B20A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72C-49CA-A904-E586AC70B20A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72C-49CA-A904-E586AC70B20A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2C-49CA-A904-E586AC70B20A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72C-49CA-A904-E586AC70B20A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772C-49CA-A904-E586AC70B20A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772C-49CA-A904-E586AC70B20A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72C-49CA-A904-E586AC70B20A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Eléctrico'!$FT$2:$FT$60</c:f>
              <c:numCache>
                <c:formatCode>Estándar</c:formatCode>
                <c:ptCount val="59"/>
                <c:pt idx="58" formatCode="0.0">
                  <c:v>7.2037595715462501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72C-49CA-A904-E586AC70B20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10704"/>
        <c:axId val="-1508915600"/>
      </c:scatterChart>
      <c:valAx>
        <c:axId val="-1508910704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Estándar" sourceLinked="1"/>
        <c:majorTickMark val="none"/>
        <c:minorTickMark val="none"/>
        <c:tickLblPos val="nextTo"/>
        <c:crossAx val="-1508915600"/>
        <c:crosses val="autoZero"/>
        <c:crossBetween val="midCat"/>
        <c:majorUnit val="5"/>
      </c:valAx>
      <c:valAx>
        <c:axId val="-1508915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10704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21" l="0.70000000000000062" r="0.70000000000000062" t="0.750000000000009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15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7A-4E04-973E-B825B9410E03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A-4E04-973E-B825B9410E03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7A-4E04-973E-B825B9410E03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7A-4E04-973E-B825B9410E03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27A-4E04-973E-B825B9410E03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27A-4E04-973E-B825B9410E03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27A-4E04-973E-B825B9410E03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227A-4E04-973E-B825B9410E03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227A-4E04-973E-B825B9410E03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27A-4E04-973E-B825B9410E03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Estándar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29.442118476938568</c:v>
                </c:pt>
              </c:numCache>
            </c:numRef>
          </c:xVal>
          <c:yVal>
            <c:numRef>
              <c:f>'Horno Eléctrico'!$FT$2:$FT$60</c:f>
              <c:numCache>
                <c:formatCode>Estándar</c:formatCode>
                <c:ptCount val="59"/>
                <c:pt idx="58" formatCode="0.0">
                  <c:v>7.2037595715462501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27A-4E04-973E-B825B9410E0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04720"/>
        <c:axId val="-1508910160"/>
      </c:scatterChart>
      <c:valAx>
        <c:axId val="-1508904720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Estándar" sourceLinked="1"/>
        <c:majorTickMark val="none"/>
        <c:minorTickMark val="none"/>
        <c:tickLblPos val="nextTo"/>
        <c:crossAx val="-1508910160"/>
        <c:crosses val="autoZero"/>
        <c:crossBetween val="midCat"/>
        <c:majorUnit val="5"/>
      </c:valAx>
      <c:valAx>
        <c:axId val="-150891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04720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2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6" name="25 Grup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6978171" y="2490796"/>
          <a:ext cx="5549616" cy="3934422"/>
          <a:chOff x="13691601" y="78442"/>
          <a:chExt cx="6558881" cy="4784912"/>
        </a:xfrm>
      </xdr:grpSpPr>
      <xdr:graphicFrame macro="">
        <xdr:nvGraphicFramePr>
          <xdr:cNvPr id="19" name="18 Gráfico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0" name="19 CuadroTexto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1" name="20 CuadroTexto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22" name="21 CuadroTexto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5" name="24 CuadroTexto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78</xdr:row>
      <xdr:rowOff>14009</xdr:rowOff>
    </xdr:from>
    <xdr:to>
      <xdr:col>10</xdr:col>
      <xdr:colOff>149409</xdr:colOff>
      <xdr:row>88</xdr:row>
      <xdr:rowOff>11207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13294" y="13124891"/>
          <a:ext cx="1998379" cy="156602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78</xdr:row>
      <xdr:rowOff>11206</xdr:rowOff>
    </xdr:from>
    <xdr:to>
      <xdr:col>15</xdr:col>
      <xdr:colOff>11206</xdr:colOff>
      <xdr:row>88</xdr:row>
      <xdr:rowOff>11207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78588" y="13122088"/>
          <a:ext cx="1972235" cy="1568824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90</xdr:row>
      <xdr:rowOff>14007</xdr:rowOff>
    </xdr:from>
    <xdr:to>
      <xdr:col>10</xdr:col>
      <xdr:colOff>134470</xdr:colOff>
      <xdr:row>100</xdr:row>
      <xdr:rowOff>11205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13293" y="15007478"/>
          <a:ext cx="1983441" cy="156602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90</xdr:row>
      <xdr:rowOff>11205</xdr:rowOff>
    </xdr:from>
    <xdr:to>
      <xdr:col>15</xdr:col>
      <xdr:colOff>1</xdr:colOff>
      <xdr:row>100</xdr:row>
      <xdr:rowOff>11205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989793" y="15004676"/>
          <a:ext cx="1949825" cy="1568824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78</xdr:row>
      <xdr:rowOff>2</xdr:rowOff>
    </xdr:from>
    <xdr:to>
      <xdr:col>17</xdr:col>
      <xdr:colOff>728382</xdr:colOff>
      <xdr:row>88</xdr:row>
      <xdr:rowOff>11207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0253383" y="13110884"/>
          <a:ext cx="1983441" cy="1580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0</xdr:row>
      <xdr:rowOff>0</xdr:rowOff>
    </xdr:from>
    <xdr:to>
      <xdr:col>7</xdr:col>
      <xdr:colOff>400051</xdr:colOff>
      <xdr:row>0</xdr:row>
      <xdr:rowOff>0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5400000">
          <a:off x="1704976" y="1438275"/>
          <a:ext cx="5057775" cy="3000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623311</xdr:colOff>
      <xdr:row>0</xdr:row>
      <xdr:rowOff>0</xdr:rowOff>
    </xdr:from>
    <xdr:to>
      <xdr:col>17</xdr:col>
      <xdr:colOff>389964</xdr:colOff>
      <xdr:row>11</xdr:row>
      <xdr:rowOff>169240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76836" y="0"/>
          <a:ext cx="3786203" cy="226474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371475</xdr:colOff>
      <xdr:row>5</xdr:row>
      <xdr:rowOff>123825</xdr:rowOff>
    </xdr:from>
    <xdr:to>
      <xdr:col>16</xdr:col>
      <xdr:colOff>714375</xdr:colOff>
      <xdr:row>5</xdr:row>
      <xdr:rowOff>123825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0287000" y="1076325"/>
          <a:ext cx="3114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342901</xdr:colOff>
      <xdr:row>3</xdr:row>
      <xdr:rowOff>9525</xdr:rowOff>
    </xdr:from>
    <xdr:to>
      <xdr:col>15</xdr:col>
      <xdr:colOff>361951</xdr:colOff>
      <xdr:row>10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6200000" flipV="1">
          <a:off x="11615738" y="1233488"/>
          <a:ext cx="1323975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371481</xdr:colOff>
      <xdr:row>3</xdr:row>
      <xdr:rowOff>95253</xdr:rowOff>
    </xdr:from>
    <xdr:to>
      <xdr:col>16</xdr:col>
      <xdr:colOff>428625</xdr:colOff>
      <xdr:row>3</xdr:row>
      <xdr:rowOff>104776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0800000">
          <a:off x="10287006" y="666753"/>
          <a:ext cx="2828919" cy="95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516055</xdr:colOff>
      <xdr:row>26</xdr:row>
      <xdr:rowOff>22409</xdr:rowOff>
    </xdr:from>
    <xdr:to>
      <xdr:col>17</xdr:col>
      <xdr:colOff>729640</xdr:colOff>
      <xdr:row>51</xdr:row>
      <xdr:rowOff>33618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45580" y="4975409"/>
          <a:ext cx="5757135" cy="4773709"/>
        </a:xfrm>
        <a:prstGeom prst="rect">
          <a:avLst/>
        </a:prstGeom>
        <a:noFill/>
      </xdr:spPr>
    </xdr:pic>
    <xdr:clientData/>
  </xdr:twoCellAnchor>
  <xdr:twoCellAnchor>
    <xdr:from>
      <xdr:col>10</xdr:col>
      <xdr:colOff>549088</xdr:colOff>
      <xdr:row>39</xdr:row>
      <xdr:rowOff>44824</xdr:rowOff>
    </xdr:from>
    <xdr:to>
      <xdr:col>17</xdr:col>
      <xdr:colOff>459441</xdr:colOff>
      <xdr:row>50</xdr:row>
      <xdr:rowOff>134471</xdr:rowOff>
    </xdr:to>
    <xdr:cxnSp macro="">
      <xdr:nvCxnSpPr>
        <xdr:cNvPr id="7" name="6 Conector rect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8940613" y="7474324"/>
          <a:ext cx="4968128" cy="218514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784435</xdr:colOff>
      <xdr:row>27</xdr:row>
      <xdr:rowOff>78442</xdr:rowOff>
    </xdr:from>
    <xdr:to>
      <xdr:col>16</xdr:col>
      <xdr:colOff>437053</xdr:colOff>
      <xdr:row>49</xdr:row>
      <xdr:rowOff>44825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rot="5400000" flipH="1" flipV="1">
          <a:off x="9833465" y="6088437"/>
          <a:ext cx="4157383" cy="2424393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201731</xdr:colOff>
      <xdr:row>27</xdr:row>
      <xdr:rowOff>78442</xdr:rowOff>
    </xdr:from>
    <xdr:to>
      <xdr:col>15</xdr:col>
      <xdr:colOff>616349</xdr:colOff>
      <xdr:row>49</xdr:row>
      <xdr:rowOff>44825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rot="5400000" flipH="1" flipV="1">
          <a:off x="9250761" y="6088437"/>
          <a:ext cx="4157383" cy="2424393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392207</xdr:colOff>
      <xdr:row>31</xdr:row>
      <xdr:rowOff>67378</xdr:rowOff>
    </xdr:from>
    <xdr:to>
      <xdr:col>9</xdr:col>
      <xdr:colOff>169770</xdr:colOff>
      <xdr:row>53</xdr:row>
      <xdr:rowOff>88528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35357" y="5972878"/>
          <a:ext cx="5105960" cy="42121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33618</xdr:colOff>
      <xdr:row>44</xdr:row>
      <xdr:rowOff>56030</xdr:rowOff>
    </xdr:from>
    <xdr:to>
      <xdr:col>9</xdr:col>
      <xdr:colOff>515470</xdr:colOff>
      <xdr:row>53</xdr:row>
      <xdr:rowOff>67235</xdr:rowOff>
    </xdr:to>
    <xdr:cxnSp macro="">
      <xdr:nvCxnSpPr>
        <xdr:cNvPr id="11" name="10 Conector recto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3195918" y="8438030"/>
          <a:ext cx="4949077" cy="17257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526698</xdr:colOff>
      <xdr:row>31</xdr:row>
      <xdr:rowOff>168088</xdr:rowOff>
    </xdr:from>
    <xdr:to>
      <xdr:col>8</xdr:col>
      <xdr:colOff>515494</xdr:colOff>
      <xdr:row>52</xdr:row>
      <xdr:rowOff>134472</xdr:rowOff>
    </xdr:to>
    <xdr:cxnSp macro="">
      <xdr:nvCxnSpPr>
        <xdr:cNvPr id="12" name="11 Conector rect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rot="5400000" flipH="1" flipV="1">
          <a:off x="4352667" y="7010119"/>
          <a:ext cx="3966884" cy="209382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773229</xdr:colOff>
      <xdr:row>31</xdr:row>
      <xdr:rowOff>168088</xdr:rowOff>
    </xdr:from>
    <xdr:to>
      <xdr:col>7</xdr:col>
      <xdr:colOff>683584</xdr:colOff>
      <xdr:row>52</xdr:row>
      <xdr:rowOff>134472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rot="5400000" flipH="1" flipV="1">
          <a:off x="3759877" y="7011240"/>
          <a:ext cx="3966884" cy="209158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0</xdr:row>
      <xdr:rowOff>0</xdr:rowOff>
    </xdr:from>
    <xdr:to>
      <xdr:col>26</xdr:col>
      <xdr:colOff>584640</xdr:colOff>
      <xdr:row>30</xdr:row>
      <xdr:rowOff>76200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449300" y="0"/>
          <a:ext cx="7442640" cy="5791200"/>
        </a:xfrm>
        <a:prstGeom prst="rect">
          <a:avLst/>
        </a:prstGeom>
        <a:noFill/>
        <a:ln w="19050">
          <a:solidFill>
            <a:schemeClr val="tx1"/>
          </a:solidFill>
        </a:ln>
      </xdr:spPr>
    </xdr:pic>
    <xdr:clientData/>
  </xdr:twoCellAnchor>
  <xdr:twoCellAnchor>
    <xdr:from>
      <xdr:col>22</xdr:col>
      <xdr:colOff>290808</xdr:colOff>
      <xdr:row>2</xdr:row>
      <xdr:rowOff>28575</xdr:rowOff>
    </xdr:from>
    <xdr:to>
      <xdr:col>26</xdr:col>
      <xdr:colOff>243183</xdr:colOff>
      <xdr:row>28</xdr:row>
      <xdr:rowOff>133350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rot="5400000">
          <a:off x="16521408" y="1438275"/>
          <a:ext cx="5057775" cy="30003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104792</xdr:colOff>
      <xdr:row>2</xdr:row>
      <xdr:rowOff>114299</xdr:rowOff>
    </xdr:from>
    <xdr:to>
      <xdr:col>23</xdr:col>
      <xdr:colOff>561992</xdr:colOff>
      <xdr:row>29</xdr:row>
      <xdr:rowOff>9524</xdr:rowOff>
    </xdr:to>
    <xdr:cxnSp macro="">
      <xdr:nvCxnSpPr>
        <xdr:cNvPr id="16" name="15 Conector recto de flecha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rot="16200000" flipH="1">
          <a:off x="14692329" y="1643062"/>
          <a:ext cx="5038725" cy="274320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23</xdr:row>
      <xdr:rowOff>127185</xdr:rowOff>
    </xdr:from>
    <xdr:to>
      <xdr:col>25</xdr:col>
      <xdr:colOff>361950</xdr:colOff>
      <xdr:row>24</xdr:row>
      <xdr:rowOff>60510</xdr:rowOff>
    </xdr:to>
    <xdr:cxnSp macro="">
      <xdr:nvCxnSpPr>
        <xdr:cNvPr id="17" name="16 Conector recto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3896975" y="4508685"/>
          <a:ext cx="6010275" cy="123825"/>
        </a:xfrm>
        <a:prstGeom prst="line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6980142" y="2469775"/>
          <a:ext cx="5550273" cy="3907490"/>
          <a:chOff x="13691601" y="78442"/>
          <a:chExt cx="6558881" cy="4784912"/>
        </a:xfrm>
      </xdr:grpSpPr>
      <xdr:graphicFrame macro="">
        <xdr:nvGraphicFramePr>
          <xdr:cNvPr id="3" name="2 Gráfico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3 CuadroTexto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5" name="4 CuadroTexto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6" name="5 CuadroTexto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7" name="6 CuadroTexto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81</xdr:row>
      <xdr:rowOff>14009</xdr:rowOff>
    </xdr:from>
    <xdr:to>
      <xdr:col>11</xdr:col>
      <xdr:colOff>244659</xdr:colOff>
      <xdr:row>92</xdr:row>
      <xdr:rowOff>135032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0" y="13587134"/>
          <a:ext cx="1997259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81</xdr:row>
      <xdr:rowOff>11206</xdr:rowOff>
    </xdr:from>
    <xdr:to>
      <xdr:col>15</xdr:col>
      <xdr:colOff>335056</xdr:colOff>
      <xdr:row>92</xdr:row>
      <xdr:rowOff>135032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9525" y="13584331"/>
          <a:ext cx="1973356" cy="1619251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93</xdr:row>
      <xdr:rowOff>14007</xdr:rowOff>
    </xdr:from>
    <xdr:to>
      <xdr:col>11</xdr:col>
      <xdr:colOff>382120</xdr:colOff>
      <xdr:row>104</xdr:row>
      <xdr:rowOff>135030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48517" y="15530232"/>
          <a:ext cx="1986803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93</xdr:row>
      <xdr:rowOff>11205</xdr:rowOff>
    </xdr:from>
    <xdr:to>
      <xdr:col>15</xdr:col>
      <xdr:colOff>323851</xdr:colOff>
      <xdr:row>104</xdr:row>
      <xdr:rowOff>135030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640730" y="15527430"/>
          <a:ext cx="1950946" cy="1619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81</xdr:row>
      <xdr:rowOff>2</xdr:rowOff>
    </xdr:from>
    <xdr:to>
      <xdr:col>17</xdr:col>
      <xdr:colOff>680757</xdr:colOff>
      <xdr:row>92</xdr:row>
      <xdr:rowOff>135032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05440" y="13573127"/>
          <a:ext cx="1986242" cy="1630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4128-7A49-4323-8F18-C858079FB1B4}">
  <dimension ref="A1:G11"/>
  <sheetViews>
    <sheetView showGridLines="0" tabSelected="1" workbookViewId="0">
      <selection activeCell="D28" sqref="D28"/>
    </sheetView>
  </sheetViews>
  <sheetFormatPr baseColWidth="10" defaultRowHeight="15"/>
  <cols>
    <col min="1" max="1" width="20.7109375" customWidth="1"/>
    <col min="3" max="4" width="14.140625" customWidth="1"/>
    <col min="6" max="6" width="11.42578125" style="146"/>
  </cols>
  <sheetData>
    <row r="1" spans="1:7">
      <c r="A1" s="159" t="s">
        <v>0</v>
      </c>
      <c r="B1" s="159" t="s">
        <v>184</v>
      </c>
      <c r="C1" s="159" t="s">
        <v>297</v>
      </c>
      <c r="D1" s="159" t="s">
        <v>298</v>
      </c>
      <c r="E1" s="159" t="s">
        <v>299</v>
      </c>
      <c r="F1" s="234" t="s">
        <v>4</v>
      </c>
      <c r="G1" s="159" t="s">
        <v>300</v>
      </c>
    </row>
    <row r="2" spans="1:7">
      <c r="A2" s="161" t="s">
        <v>10</v>
      </c>
      <c r="B2" s="164">
        <v>157</v>
      </c>
      <c r="C2" s="164">
        <v>0.32</v>
      </c>
      <c r="D2" s="229">
        <v>12000</v>
      </c>
      <c r="E2" s="229">
        <v>0.1</v>
      </c>
      <c r="F2" s="233">
        <v>0.84</v>
      </c>
      <c r="G2" s="186">
        <v>470</v>
      </c>
    </row>
    <row r="3" spans="1:7">
      <c r="A3" s="168" t="s">
        <v>296</v>
      </c>
      <c r="B3" s="164">
        <v>334</v>
      </c>
      <c r="C3" s="164">
        <v>0.9</v>
      </c>
      <c r="D3" s="229">
        <v>1</v>
      </c>
      <c r="E3" s="229">
        <v>0.1</v>
      </c>
      <c r="F3" s="233">
        <v>0.97</v>
      </c>
      <c r="G3" s="186">
        <v>470</v>
      </c>
    </row>
    <row r="4" spans="1:7">
      <c r="A4" s="169" t="s">
        <v>276</v>
      </c>
      <c r="B4" s="164">
        <v>170</v>
      </c>
      <c r="C4" s="164">
        <v>0.43</v>
      </c>
      <c r="D4" s="229">
        <v>15000</v>
      </c>
      <c r="E4" s="229">
        <v>0.1</v>
      </c>
      <c r="F4" s="233">
        <v>0.88</v>
      </c>
      <c r="G4" s="186">
        <v>460</v>
      </c>
    </row>
    <row r="5" spans="1:7">
      <c r="A5" s="170" t="s">
        <v>278</v>
      </c>
      <c r="B5" s="164">
        <v>217</v>
      </c>
      <c r="C5" s="164">
        <v>0.7</v>
      </c>
      <c r="D5" s="229">
        <v>1</v>
      </c>
      <c r="E5" s="229">
        <v>0.1</v>
      </c>
      <c r="F5" s="233">
        <v>0.98</v>
      </c>
      <c r="G5" s="186">
        <v>450</v>
      </c>
    </row>
    <row r="6" spans="1:7">
      <c r="A6" s="171" t="s">
        <v>224</v>
      </c>
      <c r="B6" s="164">
        <v>56</v>
      </c>
      <c r="C6" s="164">
        <v>1</v>
      </c>
      <c r="D6" s="229">
        <v>700</v>
      </c>
      <c r="E6" s="229">
        <v>0.1</v>
      </c>
      <c r="F6" s="233">
        <v>0.85</v>
      </c>
      <c r="G6" s="186">
        <v>510</v>
      </c>
    </row>
    <row r="7" spans="1:7">
      <c r="A7" s="172" t="s">
        <v>81</v>
      </c>
      <c r="B7" s="164">
        <v>520</v>
      </c>
      <c r="C7" s="164">
        <v>1</v>
      </c>
      <c r="D7" s="229">
        <v>18000</v>
      </c>
      <c r="E7" s="229">
        <v>0.1</v>
      </c>
      <c r="F7" s="233">
        <v>0.96</v>
      </c>
      <c r="G7" s="186">
        <v>430</v>
      </c>
    </row>
    <row r="8" spans="1:7">
      <c r="A8" s="173" t="s">
        <v>279</v>
      </c>
      <c r="B8" s="164">
        <v>240</v>
      </c>
      <c r="C8" s="164">
        <v>3.5</v>
      </c>
      <c r="D8" s="229">
        <v>1</v>
      </c>
      <c r="E8" s="229">
        <v>0.1</v>
      </c>
      <c r="F8" s="233">
        <v>0.94</v>
      </c>
      <c r="G8" s="186">
        <v>400</v>
      </c>
    </row>
    <row r="9" spans="1:7">
      <c r="A9" s="169" t="s">
        <v>83</v>
      </c>
      <c r="B9" s="164">
        <v>201</v>
      </c>
      <c r="C9" s="164">
        <v>0.6</v>
      </c>
      <c r="D9" s="229">
        <v>3500</v>
      </c>
      <c r="E9" s="229">
        <v>0.1</v>
      </c>
      <c r="F9" s="233">
        <v>0.96</v>
      </c>
      <c r="G9" s="186">
        <v>470</v>
      </c>
    </row>
    <row r="11" spans="1:7">
      <c r="B11" s="2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F3EF-5E34-4FA8-A3D1-33686BE22993}">
  <dimension ref="A1:J22"/>
  <sheetViews>
    <sheetView showGridLines="0" zoomScale="120" zoomScaleNormal="120" workbookViewId="0">
      <selection activeCell="F17" sqref="F17"/>
    </sheetView>
  </sheetViews>
  <sheetFormatPr baseColWidth="10" defaultRowHeight="15"/>
  <cols>
    <col min="1" max="1" width="18.28515625" style="240" customWidth="1"/>
    <col min="2" max="10" width="6.7109375" style="240" customWidth="1"/>
    <col min="11" max="16384" width="11.42578125" style="240"/>
  </cols>
  <sheetData>
    <row r="1" spans="1:10">
      <c r="A1" s="242" t="s">
        <v>0</v>
      </c>
      <c r="B1" s="242" t="s">
        <v>139</v>
      </c>
      <c r="C1" s="242" t="s">
        <v>74</v>
      </c>
      <c r="D1" s="242" t="s">
        <v>136</v>
      </c>
      <c r="E1" s="242" t="s">
        <v>226</v>
      </c>
      <c r="F1" s="242" t="s">
        <v>227</v>
      </c>
      <c r="G1" s="243" t="s">
        <v>100</v>
      </c>
      <c r="H1" s="242" t="s">
        <v>228</v>
      </c>
      <c r="I1" s="242" t="s">
        <v>229</v>
      </c>
      <c r="J1" s="242" t="s">
        <v>230</v>
      </c>
    </row>
    <row r="2" spans="1:10">
      <c r="A2" s="161" t="s">
        <v>10</v>
      </c>
      <c r="B2" s="164">
        <v>0.25</v>
      </c>
      <c r="C2" s="164">
        <v>0.6</v>
      </c>
      <c r="D2" s="229">
        <v>0.2</v>
      </c>
      <c r="E2" s="164">
        <v>0.03</v>
      </c>
      <c r="F2" s="164">
        <v>0.19</v>
      </c>
      <c r="G2" s="229">
        <v>0.04</v>
      </c>
      <c r="H2" s="164">
        <v>0.33</v>
      </c>
      <c r="I2" s="164">
        <v>0.19</v>
      </c>
      <c r="J2" s="229">
        <v>0.04</v>
      </c>
    </row>
    <row r="3" spans="1:10">
      <c r="A3" s="168" t="s">
        <v>296</v>
      </c>
      <c r="B3" s="164">
        <v>0.25</v>
      </c>
      <c r="C3" s="164">
        <v>0.6</v>
      </c>
      <c r="D3" s="229">
        <v>0.2</v>
      </c>
      <c r="E3" s="164">
        <v>0.03</v>
      </c>
      <c r="F3" s="164">
        <v>0.19</v>
      </c>
      <c r="G3" s="229">
        <v>0.04</v>
      </c>
      <c r="H3" s="164">
        <v>0.33</v>
      </c>
      <c r="I3" s="164">
        <v>0.19</v>
      </c>
      <c r="J3" s="229">
        <v>0.04</v>
      </c>
    </row>
    <row r="4" spans="1:10">
      <c r="A4" s="169" t="s">
        <v>276</v>
      </c>
      <c r="B4" s="164">
        <v>0.25</v>
      </c>
      <c r="C4" s="164">
        <v>0.6</v>
      </c>
      <c r="D4" s="229">
        <v>0.2</v>
      </c>
      <c r="E4" s="164">
        <v>0.03</v>
      </c>
      <c r="F4" s="164">
        <v>0.19</v>
      </c>
      <c r="G4" s="229">
        <v>0.04</v>
      </c>
      <c r="H4" s="164">
        <v>0.33</v>
      </c>
      <c r="I4" s="164">
        <v>0.19</v>
      </c>
      <c r="J4" s="229">
        <v>0.04</v>
      </c>
    </row>
    <row r="5" spans="1:10">
      <c r="A5" s="170" t="s">
        <v>278</v>
      </c>
      <c r="B5" s="164">
        <v>0.28000000000000003</v>
      </c>
      <c r="C5" s="164">
        <v>1.4</v>
      </c>
      <c r="D5" s="229">
        <v>0.18</v>
      </c>
      <c r="E5" s="164">
        <v>0.02</v>
      </c>
      <c r="F5" s="164">
        <v>0.35</v>
      </c>
      <c r="G5" s="229">
        <v>1E-3</v>
      </c>
      <c r="H5" s="164">
        <v>0.03</v>
      </c>
      <c r="I5" s="164">
        <v>0.09</v>
      </c>
      <c r="J5" s="229">
        <v>0.3</v>
      </c>
    </row>
    <row r="6" spans="1:10">
      <c r="A6" s="171" t="s">
        <v>224</v>
      </c>
      <c r="B6" s="164">
        <v>0.2</v>
      </c>
      <c r="C6" s="164">
        <v>0.7</v>
      </c>
      <c r="D6" s="229">
        <v>0.15</v>
      </c>
      <c r="E6" s="164">
        <v>0.02</v>
      </c>
      <c r="F6" s="164">
        <v>0.06</v>
      </c>
      <c r="G6" s="229">
        <v>0.04</v>
      </c>
      <c r="H6" s="164">
        <v>0.15</v>
      </c>
      <c r="I6" s="164">
        <v>0.11</v>
      </c>
      <c r="J6" s="229">
        <v>5.0000000000000001E-3</v>
      </c>
    </row>
    <row r="7" spans="1:10">
      <c r="A7" s="172" t="s">
        <v>81</v>
      </c>
      <c r="B7" s="164">
        <v>0.18</v>
      </c>
      <c r="C7" s="164">
        <v>0.4</v>
      </c>
      <c r="D7" s="229">
        <v>0.1</v>
      </c>
      <c r="E7" s="164">
        <v>0.02</v>
      </c>
      <c r="F7" s="164">
        <v>0.05</v>
      </c>
      <c r="G7" s="229">
        <v>0.02</v>
      </c>
      <c r="H7" s="164">
        <v>0.15</v>
      </c>
      <c r="I7" s="164">
        <v>0.04</v>
      </c>
      <c r="J7" s="229">
        <v>0.01</v>
      </c>
    </row>
    <row r="8" spans="1:10">
      <c r="A8" s="173" t="s">
        <v>279</v>
      </c>
      <c r="B8" s="164">
        <v>3.8</v>
      </c>
      <c r="C8" s="164">
        <v>0.9</v>
      </c>
      <c r="D8" s="229">
        <v>0.27</v>
      </c>
      <c r="E8" s="164">
        <v>0.05</v>
      </c>
      <c r="F8" s="164">
        <v>0</v>
      </c>
      <c r="G8" s="229">
        <v>2.5000000000000001E-2</v>
      </c>
      <c r="H8" s="164">
        <v>0</v>
      </c>
      <c r="I8" s="164">
        <v>0</v>
      </c>
      <c r="J8" s="229">
        <v>0</v>
      </c>
    </row>
    <row r="9" spans="1:10">
      <c r="A9" s="169" t="s">
        <v>83</v>
      </c>
      <c r="B9" s="164">
        <v>0.25</v>
      </c>
      <c r="C9" s="164">
        <v>0.3</v>
      </c>
      <c r="D9" s="229">
        <v>0.01</v>
      </c>
      <c r="E9" s="164">
        <v>0.03</v>
      </c>
      <c r="F9" s="164">
        <v>0.18</v>
      </c>
      <c r="G9" s="229">
        <v>7.0000000000000007E-2</v>
      </c>
      <c r="H9" s="164">
        <v>0.35</v>
      </c>
      <c r="I9" s="164">
        <v>0.2</v>
      </c>
      <c r="J9" s="229">
        <v>0.04</v>
      </c>
    </row>
    <row r="12" spans="1:10">
      <c r="A12" s="159" t="s">
        <v>303</v>
      </c>
      <c r="B12" s="159" t="s">
        <v>302</v>
      </c>
    </row>
    <row r="13" spans="1:10">
      <c r="A13" s="159" t="s">
        <v>139</v>
      </c>
      <c r="B13" s="164"/>
    </row>
    <row r="14" spans="1:10">
      <c r="A14" s="159" t="s">
        <v>74</v>
      </c>
      <c r="B14" s="164"/>
    </row>
    <row r="15" spans="1:10">
      <c r="A15" s="159" t="s">
        <v>136</v>
      </c>
      <c r="B15" s="164"/>
    </row>
    <row r="16" spans="1:10">
      <c r="A16" s="159" t="s">
        <v>226</v>
      </c>
      <c r="B16" s="164"/>
    </row>
    <row r="17" spans="1:2">
      <c r="A17" s="159" t="s">
        <v>227</v>
      </c>
      <c r="B17" s="164">
        <v>0.2</v>
      </c>
    </row>
    <row r="18" spans="1:2">
      <c r="A18" s="234" t="s">
        <v>100</v>
      </c>
      <c r="B18" s="164"/>
    </row>
    <row r="19" spans="1:2">
      <c r="A19" s="159" t="s">
        <v>228</v>
      </c>
      <c r="B19" s="164">
        <v>0.4</v>
      </c>
    </row>
    <row r="20" spans="1:2">
      <c r="A20" s="159" t="s">
        <v>229</v>
      </c>
      <c r="B20" s="164">
        <v>0.15</v>
      </c>
    </row>
    <row r="21" spans="1:2">
      <c r="A21" s="159" t="s">
        <v>230</v>
      </c>
      <c r="B21" s="164">
        <v>3.3000000000000002E-2</v>
      </c>
    </row>
    <row r="22" spans="1:2">
      <c r="B22" s="24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opLeftCell="R1" zoomScaleNormal="100" workbookViewId="0">
      <selection activeCell="AI14" sqref="AI14"/>
    </sheetView>
  </sheetViews>
  <sheetFormatPr baseColWidth="10" defaultRowHeight="15"/>
  <cols>
    <col min="1" max="1" width="19.140625" bestFit="1" customWidth="1"/>
    <col min="2" max="2" width="5.7109375" bestFit="1" customWidth="1"/>
    <col min="3" max="3" width="7.5703125" bestFit="1" customWidth="1"/>
    <col min="4" max="4" width="7.28515625" customWidth="1"/>
    <col min="5" max="5" width="10.7109375" customWidth="1"/>
    <col min="6" max="6" width="9.85546875" bestFit="1" customWidth="1"/>
    <col min="7" max="7" width="7.7109375" bestFit="1" customWidth="1"/>
    <col min="8" max="8" width="13" customWidth="1"/>
    <col min="9" max="9" width="8.42578125" bestFit="1" customWidth="1"/>
    <col min="10" max="10" width="7.28515625" customWidth="1"/>
    <col min="11" max="11" width="13.28515625" bestFit="1" customWidth="1"/>
    <col min="12" max="12" width="12.28515625" customWidth="1"/>
    <col min="13" max="13" width="10" bestFit="1" customWidth="1"/>
    <col min="14" max="14" width="7.42578125" customWidth="1"/>
    <col min="15" max="15" width="10" bestFit="1" customWidth="1"/>
    <col min="16" max="16" width="7.5703125" bestFit="1" customWidth="1"/>
    <col min="17" max="17" width="10" bestFit="1" customWidth="1"/>
    <col min="18" max="18" width="7.5703125" bestFit="1" customWidth="1"/>
    <col min="19" max="19" width="10" bestFit="1" customWidth="1"/>
    <col min="20" max="20" width="8.5703125" bestFit="1" customWidth="1"/>
    <col min="21" max="21" width="10" bestFit="1" customWidth="1"/>
    <col min="22" max="22" width="6.85546875" bestFit="1" customWidth="1"/>
    <col min="23" max="23" width="11.7109375" bestFit="1" customWidth="1"/>
    <col min="24" max="24" width="13.7109375" bestFit="1" customWidth="1"/>
    <col min="25" max="25" width="9.42578125" bestFit="1" customWidth="1"/>
    <col min="26" max="26" width="1.85546875" customWidth="1"/>
    <col min="27" max="27" width="5.28515625" bestFit="1" customWidth="1"/>
    <col min="28" max="28" width="10.42578125" bestFit="1" customWidth="1"/>
    <col min="29" max="29" width="8.140625" bestFit="1" customWidth="1"/>
    <col min="30" max="35" width="6.42578125" bestFit="1" customWidth="1"/>
    <col min="37" max="37" width="8.85546875" bestFit="1" customWidth="1"/>
    <col min="38" max="38" width="12.28515625" bestFit="1" customWidth="1"/>
    <col min="39" max="41" width="5.7109375" bestFit="1" customWidth="1"/>
    <col min="42" max="42" width="9" bestFit="1" customWidth="1"/>
    <col min="47" max="47" width="17.7109375" customWidth="1"/>
  </cols>
  <sheetData>
    <row r="1" spans="1:47" ht="15.75">
      <c r="A1" s="159" t="s">
        <v>0</v>
      </c>
      <c r="B1" s="159" t="s">
        <v>3</v>
      </c>
      <c r="C1" s="159" t="s">
        <v>21</v>
      </c>
      <c r="D1" s="159" t="s">
        <v>214</v>
      </c>
      <c r="E1" s="159" t="s">
        <v>4</v>
      </c>
      <c r="F1" s="159" t="s">
        <v>84</v>
      </c>
      <c r="G1" s="159" t="s">
        <v>184</v>
      </c>
      <c r="H1" s="159" t="s">
        <v>249</v>
      </c>
      <c r="I1" s="159" t="s">
        <v>250</v>
      </c>
      <c r="J1" s="190" t="s">
        <v>86</v>
      </c>
      <c r="K1" s="159" t="s">
        <v>188</v>
      </c>
      <c r="L1" s="159" t="s">
        <v>189</v>
      </c>
      <c r="M1" s="159" t="s">
        <v>190</v>
      </c>
      <c r="N1" s="160" t="s">
        <v>191</v>
      </c>
      <c r="O1" s="159" t="s">
        <v>192</v>
      </c>
      <c r="P1" s="160" t="s">
        <v>193</v>
      </c>
      <c r="Q1" s="159" t="s">
        <v>195</v>
      </c>
      <c r="R1" s="160" t="s">
        <v>196</v>
      </c>
      <c r="S1" s="159" t="s">
        <v>197</v>
      </c>
      <c r="T1" s="160" t="s">
        <v>198</v>
      </c>
      <c r="U1" s="159" t="s">
        <v>243</v>
      </c>
      <c r="V1" s="160" t="s">
        <v>244</v>
      </c>
      <c r="W1" s="216" t="s">
        <v>203</v>
      </c>
      <c r="X1" s="218" t="s">
        <v>293</v>
      </c>
      <c r="Y1" s="219">
        <v>21000</v>
      </c>
      <c r="AA1" s="105" t="s">
        <v>139</v>
      </c>
      <c r="AB1" s="105" t="s">
        <v>74</v>
      </c>
      <c r="AC1" s="105" t="s">
        <v>136</v>
      </c>
      <c r="AD1" s="105" t="s">
        <v>226</v>
      </c>
      <c r="AE1" s="105" t="s">
        <v>227</v>
      </c>
      <c r="AF1" s="105" t="s">
        <v>100</v>
      </c>
      <c r="AG1" s="105" t="s">
        <v>228</v>
      </c>
      <c r="AH1" s="105" t="s">
        <v>229</v>
      </c>
      <c r="AI1" s="105" t="s">
        <v>230</v>
      </c>
      <c r="AL1" s="105" t="s">
        <v>139</v>
      </c>
      <c r="AM1" s="105" t="s">
        <v>74</v>
      </c>
      <c r="AN1" s="105" t="s">
        <v>136</v>
      </c>
      <c r="AP1" s="105" t="s">
        <v>138</v>
      </c>
    </row>
    <row r="2" spans="1:47" ht="16.5">
      <c r="A2" s="161" t="s">
        <v>10</v>
      </c>
      <c r="B2" s="162">
        <f>+$B$10*J2</f>
        <v>5.95</v>
      </c>
      <c r="C2" s="163">
        <f>+B2*(1-F2)</f>
        <v>4.9980000000000002</v>
      </c>
      <c r="D2" s="163">
        <f t="shared" ref="D2:D9" si="0">+B2-C2</f>
        <v>0.95199999999999996</v>
      </c>
      <c r="E2" s="97">
        <v>0.84</v>
      </c>
      <c r="F2" s="97">
        <f>1-E2</f>
        <v>0.16000000000000003</v>
      </c>
      <c r="G2" s="164">
        <v>170</v>
      </c>
      <c r="H2" s="186">
        <v>470</v>
      </c>
      <c r="I2" s="186">
        <f>+H2*J2</f>
        <v>79.900000000000006</v>
      </c>
      <c r="J2" s="238">
        <v>0.17</v>
      </c>
      <c r="K2" s="164">
        <v>0.32</v>
      </c>
      <c r="L2" s="235">
        <f>+B2/K2</f>
        <v>18.59375</v>
      </c>
      <c r="M2" s="163">
        <v>6.2</v>
      </c>
      <c r="N2" s="166">
        <f>+M2*K2</f>
        <v>1.9840000000000002</v>
      </c>
      <c r="O2" s="163">
        <v>6.2</v>
      </c>
      <c r="P2" s="166">
        <f t="shared" ref="P2:P9" si="1">+O2*K2</f>
        <v>1.9840000000000002</v>
      </c>
      <c r="Q2" s="163">
        <f>+L2-M2-O2</f>
        <v>6.1937500000000005</v>
      </c>
      <c r="R2" s="166">
        <f>+Q2*K2</f>
        <v>1.9820000000000002</v>
      </c>
      <c r="S2" s="163">
        <f t="shared" ref="S2:S3" si="2">+L2-M2-O2-Q2</f>
        <v>0</v>
      </c>
      <c r="T2" s="166">
        <f>+K2*S2</f>
        <v>0</v>
      </c>
      <c r="U2" s="163"/>
      <c r="V2" s="166">
        <f>+K2*U2</f>
        <v>0</v>
      </c>
      <c r="W2" s="217">
        <f>+B2*$Y$2</f>
        <v>4036.4998432425532</v>
      </c>
      <c r="X2" s="220" t="s">
        <v>292</v>
      </c>
      <c r="Y2" s="221">
        <f>+Y1/F17</f>
        <v>678.40333499874839</v>
      </c>
      <c r="AA2" s="231">
        <v>0.25</v>
      </c>
      <c r="AB2" s="231">
        <v>0.6</v>
      </c>
      <c r="AC2" s="232">
        <v>0.2</v>
      </c>
      <c r="AD2" s="232">
        <v>0.03</v>
      </c>
      <c r="AE2" s="232">
        <v>0.19</v>
      </c>
      <c r="AF2" s="232">
        <v>0.04</v>
      </c>
      <c r="AG2" s="232">
        <v>0.33</v>
      </c>
      <c r="AH2" s="232">
        <v>0.19</v>
      </c>
      <c r="AI2" s="232">
        <v>0.04</v>
      </c>
      <c r="AK2" t="s">
        <v>253</v>
      </c>
      <c r="AL2" s="10">
        <f>+SUMPRODUCT(N2:N9,$AA$2:$AA$9)*10</f>
        <v>34.762499999999996</v>
      </c>
      <c r="AM2" s="10">
        <f>+SUMPRODUCT(N2:N9,$AB$2:$AB$9)*10</f>
        <v>76.03</v>
      </c>
      <c r="AN2" s="10">
        <f>+SUMPRODUCT(N2:N9,$AC$2:$AC$9)*10</f>
        <v>22.173999999999999</v>
      </c>
      <c r="AP2" s="12">
        <f>+(AP14-AO14)*55/16</f>
        <v>45.580107392607381</v>
      </c>
      <c r="AT2" s="164">
        <v>170</v>
      </c>
      <c r="AU2" s="239">
        <f>AT2*W2</f>
        <v>686204.97335123399</v>
      </c>
    </row>
    <row r="3" spans="1:47" ht="16.5">
      <c r="A3" s="168" t="s">
        <v>296</v>
      </c>
      <c r="B3" s="162">
        <f t="shared" ref="B3:B9" si="3">+$B$10*J3</f>
        <v>3.0449999999999999</v>
      </c>
      <c r="C3" s="163">
        <f t="shared" ref="C3:C9" si="4">+B3*(1-F3)</f>
        <v>2.9536499999999997</v>
      </c>
      <c r="D3" s="163">
        <f t="shared" si="0"/>
        <v>9.1350000000000264E-2</v>
      </c>
      <c r="E3" s="97">
        <v>0.97</v>
      </c>
      <c r="F3" s="97">
        <f>1-E3</f>
        <v>3.0000000000000027E-2</v>
      </c>
      <c r="G3" s="164">
        <v>220</v>
      </c>
      <c r="H3" s="186">
        <v>470</v>
      </c>
      <c r="I3" s="186">
        <f t="shared" ref="I3:I9" si="5">+H3*J3</f>
        <v>40.89</v>
      </c>
      <c r="J3" s="238">
        <v>8.6999999999999994E-2</v>
      </c>
      <c r="K3" s="164">
        <v>0.9</v>
      </c>
      <c r="L3" s="235">
        <f t="shared" ref="L3:L9" si="6">+B3/K3</f>
        <v>3.3833333333333333</v>
      </c>
      <c r="M3" s="163">
        <f>+L3</f>
        <v>3.3833333333333333</v>
      </c>
      <c r="N3" s="166">
        <f t="shared" ref="N3:N9" si="7">+M3*K3</f>
        <v>3.0449999999999999</v>
      </c>
      <c r="O3" s="163"/>
      <c r="P3" s="166">
        <f t="shared" si="1"/>
        <v>0</v>
      </c>
      <c r="Q3" s="163"/>
      <c r="R3" s="166">
        <f t="shared" ref="R3:R9" si="8">+Q3*K3</f>
        <v>0</v>
      </c>
      <c r="S3" s="163">
        <f t="shared" si="2"/>
        <v>0</v>
      </c>
      <c r="T3" s="166">
        <f t="shared" ref="T3:T9" si="9">+K3*S3</f>
        <v>0</v>
      </c>
      <c r="U3" s="163"/>
      <c r="V3" s="166">
        <f t="shared" ref="V3:V9" si="10">+K3*U3</f>
        <v>0</v>
      </c>
      <c r="W3" s="217">
        <f t="shared" ref="W3:W9" si="11">+B3*$Y$2</f>
        <v>2065.7381550711889</v>
      </c>
      <c r="X3" s="222" t="s">
        <v>54</v>
      </c>
      <c r="Y3" s="223">
        <f>+F17</f>
        <v>30.955036504999999</v>
      </c>
      <c r="AA3" s="231">
        <v>0.25</v>
      </c>
      <c r="AB3" s="231">
        <v>0.6</v>
      </c>
      <c r="AC3" s="232">
        <v>0.2</v>
      </c>
      <c r="AD3" s="232">
        <v>0.03</v>
      </c>
      <c r="AE3" s="232">
        <v>0.19</v>
      </c>
      <c r="AF3" s="232">
        <v>0.04</v>
      </c>
      <c r="AG3" s="232">
        <v>0.33</v>
      </c>
      <c r="AH3" s="232">
        <v>0.19</v>
      </c>
      <c r="AI3" s="232">
        <v>0.04</v>
      </c>
      <c r="AL3" s="10"/>
      <c r="AM3" s="10"/>
      <c r="AN3" s="10"/>
      <c r="AP3" s="12"/>
      <c r="AT3" s="164">
        <v>220</v>
      </c>
      <c r="AU3" s="239">
        <f t="shared" ref="AU3:AU9" si="12">AT3*W3</f>
        <v>454462.39411566156</v>
      </c>
    </row>
    <row r="4" spans="1:47" ht="16.5">
      <c r="A4" s="169" t="s">
        <v>276</v>
      </c>
      <c r="B4" s="162">
        <f>+$B$10*J4</f>
        <v>14.945</v>
      </c>
      <c r="C4" s="163">
        <f t="shared" si="4"/>
        <v>13.1516</v>
      </c>
      <c r="D4" s="163">
        <f t="shared" si="0"/>
        <v>1.7934000000000001</v>
      </c>
      <c r="E4" s="97">
        <v>0.88</v>
      </c>
      <c r="F4" s="97">
        <f t="shared" ref="F4:F9" si="13">1-E4</f>
        <v>0.12</v>
      </c>
      <c r="G4" s="164">
        <v>180</v>
      </c>
      <c r="H4" s="186">
        <v>460</v>
      </c>
      <c r="I4" s="186">
        <f t="shared" si="5"/>
        <v>196.42</v>
      </c>
      <c r="J4" s="238">
        <v>0.42699999999999999</v>
      </c>
      <c r="K4" s="164">
        <v>0.43</v>
      </c>
      <c r="L4" s="235">
        <f t="shared" si="6"/>
        <v>34.755813953488371</v>
      </c>
      <c r="M4" s="163">
        <v>9.1999999999999993</v>
      </c>
      <c r="N4" s="166">
        <f>+M4*K4</f>
        <v>3.9559999999999995</v>
      </c>
      <c r="O4" s="163">
        <v>14</v>
      </c>
      <c r="P4" s="166">
        <f t="shared" si="1"/>
        <v>6.02</v>
      </c>
      <c r="Q4" s="163">
        <f>+L4-M4-O4</f>
        <v>11.555813953488371</v>
      </c>
      <c r="R4" s="166">
        <f t="shared" si="8"/>
        <v>4.9689999999999994</v>
      </c>
      <c r="S4" s="163">
        <f>+L4-M4-O4-Q4</f>
        <v>0</v>
      </c>
      <c r="T4" s="166">
        <f t="shared" si="9"/>
        <v>0</v>
      </c>
      <c r="U4" s="163"/>
      <c r="V4" s="166">
        <f t="shared" si="10"/>
        <v>0</v>
      </c>
      <c r="W4" s="167">
        <f t="shared" si="11"/>
        <v>10138.737841556294</v>
      </c>
      <c r="AA4" s="231">
        <v>0.25</v>
      </c>
      <c r="AB4" s="231">
        <v>0.6</v>
      </c>
      <c r="AC4" s="232">
        <v>0.2</v>
      </c>
      <c r="AD4" s="232">
        <v>0.03</v>
      </c>
      <c r="AE4" s="232">
        <v>0.19</v>
      </c>
      <c r="AF4" s="232">
        <v>0.04</v>
      </c>
      <c r="AG4" s="232">
        <v>0.33</v>
      </c>
      <c r="AH4" s="232">
        <v>0.19</v>
      </c>
      <c r="AI4" s="232">
        <v>0.04</v>
      </c>
      <c r="AK4" t="s">
        <v>254</v>
      </c>
      <c r="AL4" s="10">
        <f>+SUMPRODUCT(P2:P9,$AA$2:$AA$9)*10</f>
        <v>29.064</v>
      </c>
      <c r="AM4" s="10">
        <f>+SUMPRODUCT(P2:P9,$AB$2:$AB$9)*10</f>
        <v>68.144000000000005</v>
      </c>
      <c r="AN4" s="10">
        <f>+SUMPRODUCT(P2:P9,$AC$2:$AC$9)*10</f>
        <v>21.038</v>
      </c>
      <c r="AP4" s="12">
        <f>+(AP15-AO15)*55/16</f>
        <v>139.66965534465541</v>
      </c>
      <c r="AT4" s="164">
        <v>180</v>
      </c>
      <c r="AU4" s="239">
        <f t="shared" si="12"/>
        <v>1824972.8114801331</v>
      </c>
    </row>
    <row r="5" spans="1:47" ht="16.5">
      <c r="A5" s="170" t="s">
        <v>278</v>
      </c>
      <c r="B5" s="162">
        <f t="shared" si="3"/>
        <v>0</v>
      </c>
      <c r="C5" s="163">
        <f t="shared" si="4"/>
        <v>0</v>
      </c>
      <c r="D5" s="163">
        <f t="shared" si="0"/>
        <v>0</v>
      </c>
      <c r="E5" s="97">
        <v>0.98</v>
      </c>
      <c r="F5" s="97">
        <f t="shared" si="13"/>
        <v>2.0000000000000018E-2</v>
      </c>
      <c r="G5" s="164">
        <v>217</v>
      </c>
      <c r="H5" s="186">
        <v>450</v>
      </c>
      <c r="I5" s="186">
        <f t="shared" si="5"/>
        <v>0</v>
      </c>
      <c r="J5" s="238"/>
      <c r="K5" s="164">
        <v>0.7</v>
      </c>
      <c r="L5" s="235">
        <f t="shared" si="6"/>
        <v>0</v>
      </c>
      <c r="M5" s="163"/>
      <c r="N5" s="166">
        <f t="shared" si="7"/>
        <v>0</v>
      </c>
      <c r="O5" s="163"/>
      <c r="P5" s="166">
        <f t="shared" si="1"/>
        <v>0</v>
      </c>
      <c r="Q5" s="163"/>
      <c r="R5" s="166">
        <f t="shared" si="8"/>
        <v>0</v>
      </c>
      <c r="S5" s="163"/>
      <c r="T5" s="166">
        <f t="shared" si="9"/>
        <v>0</v>
      </c>
      <c r="U5" s="163"/>
      <c r="V5" s="166">
        <f t="shared" si="10"/>
        <v>0</v>
      </c>
      <c r="W5" s="167">
        <f t="shared" si="11"/>
        <v>0</v>
      </c>
      <c r="X5">
        <f>+Y2/31</f>
        <v>21.883978548346722</v>
      </c>
      <c r="AA5" s="231">
        <v>0.28000000000000003</v>
      </c>
      <c r="AB5" s="231">
        <v>1.4</v>
      </c>
      <c r="AC5" s="232">
        <v>0.18</v>
      </c>
      <c r="AD5" s="232">
        <v>0.02</v>
      </c>
      <c r="AE5" s="232">
        <v>0.35</v>
      </c>
      <c r="AF5" s="232">
        <v>1E-3</v>
      </c>
      <c r="AG5" s="232">
        <v>0.03</v>
      </c>
      <c r="AH5" s="232">
        <v>0.09</v>
      </c>
      <c r="AI5" s="232">
        <v>0.3</v>
      </c>
      <c r="AK5" t="s">
        <v>255</v>
      </c>
      <c r="AL5" s="10">
        <f>+SUMPRODUCT(R2:R9,$AA$2:$AA$9)*10</f>
        <v>17.377499999999998</v>
      </c>
      <c r="AM5" s="10">
        <f>+SUMPRODUCT(R2:R9,$AB$2:$AB$9)*10</f>
        <v>41.705999999999996</v>
      </c>
      <c r="AN5" s="10">
        <f>+SUMPRODUCT(R2:R9,$AC$2:$AC$9)*10</f>
        <v>13.902000000000001</v>
      </c>
      <c r="AP5" s="12">
        <f>+(AP16-AO16)*55/16</f>
        <v>33.54169580419579</v>
      </c>
      <c r="AT5" s="164">
        <v>217</v>
      </c>
      <c r="AU5" s="239">
        <f t="shared" si="12"/>
        <v>0</v>
      </c>
    </row>
    <row r="6" spans="1:47" ht="16.5">
      <c r="A6" s="171" t="s">
        <v>224</v>
      </c>
      <c r="B6" s="162">
        <f t="shared" si="3"/>
        <v>0</v>
      </c>
      <c r="C6" s="163">
        <f t="shared" si="4"/>
        <v>0</v>
      </c>
      <c r="D6" s="163">
        <f t="shared" si="0"/>
        <v>0</v>
      </c>
      <c r="E6" s="97">
        <v>0.85</v>
      </c>
      <c r="F6" s="97">
        <f t="shared" si="13"/>
        <v>0.15000000000000002</v>
      </c>
      <c r="G6" s="164">
        <v>56</v>
      </c>
      <c r="H6" s="186">
        <v>510</v>
      </c>
      <c r="I6" s="186">
        <f t="shared" si="5"/>
        <v>0</v>
      </c>
      <c r="J6" s="238"/>
      <c r="K6" s="164">
        <v>1</v>
      </c>
      <c r="L6" s="235">
        <f t="shared" si="6"/>
        <v>0</v>
      </c>
      <c r="M6" s="163"/>
      <c r="N6" s="166">
        <f t="shared" si="7"/>
        <v>0</v>
      </c>
      <c r="O6" s="163"/>
      <c r="P6" s="166">
        <f t="shared" si="1"/>
        <v>0</v>
      </c>
      <c r="Q6" s="163"/>
      <c r="R6" s="166">
        <f t="shared" si="8"/>
        <v>0</v>
      </c>
      <c r="S6" s="163"/>
      <c r="T6" s="166">
        <f t="shared" si="9"/>
        <v>0</v>
      </c>
      <c r="U6" s="163"/>
      <c r="V6" s="166">
        <f t="shared" si="10"/>
        <v>0</v>
      </c>
      <c r="W6" s="167">
        <f t="shared" si="11"/>
        <v>0</v>
      </c>
      <c r="AA6" s="231">
        <v>0.2</v>
      </c>
      <c r="AB6" s="231">
        <v>0.7</v>
      </c>
      <c r="AC6" s="232">
        <v>0.15</v>
      </c>
      <c r="AD6" s="232">
        <v>0.02</v>
      </c>
      <c r="AE6" s="232">
        <v>0.06</v>
      </c>
      <c r="AF6" s="232">
        <v>0.04</v>
      </c>
      <c r="AG6" s="232">
        <v>0.15</v>
      </c>
      <c r="AH6" s="232">
        <v>0.11</v>
      </c>
      <c r="AI6" s="232">
        <v>5.0000000000000001E-3</v>
      </c>
      <c r="AK6" t="s">
        <v>256</v>
      </c>
      <c r="AL6" s="10">
        <f>+SUMPRODUCT(T2:T9,$AA$2:$AA$9)*10</f>
        <v>0</v>
      </c>
      <c r="AM6" s="10">
        <f>+SUMPRODUCT(T2:T9,$AB$2:$AB$9)*10</f>
        <v>0</v>
      </c>
      <c r="AN6" s="10">
        <f>+SUMPRODUCT(T2:T9,$AC$2:$AC$9)*10</f>
        <v>0</v>
      </c>
      <c r="AP6" s="12">
        <f>+(AP17-AO17)*55/16</f>
        <v>68.75</v>
      </c>
      <c r="AT6" s="164">
        <v>56</v>
      </c>
      <c r="AU6" s="239">
        <f t="shared" si="12"/>
        <v>0</v>
      </c>
    </row>
    <row r="7" spans="1:47" ht="16.5">
      <c r="A7" s="172" t="s">
        <v>81</v>
      </c>
      <c r="B7" s="162">
        <f>+$B$10*J7</f>
        <v>9.0300000000000011</v>
      </c>
      <c r="C7" s="163">
        <f>+B7*(1-F7)</f>
        <v>8.6688000000000009</v>
      </c>
      <c r="D7" s="163">
        <f t="shared" si="0"/>
        <v>0.36120000000000019</v>
      </c>
      <c r="E7" s="97">
        <v>0.96</v>
      </c>
      <c r="F7" s="97">
        <f t="shared" si="13"/>
        <v>4.0000000000000036E-2</v>
      </c>
      <c r="G7" s="164">
        <v>295</v>
      </c>
      <c r="H7" s="186">
        <v>430</v>
      </c>
      <c r="I7" s="186">
        <f t="shared" si="5"/>
        <v>110.94</v>
      </c>
      <c r="J7" s="238">
        <v>0.25800000000000001</v>
      </c>
      <c r="K7" s="164">
        <v>1</v>
      </c>
      <c r="L7" s="235">
        <f>+B7/K7</f>
        <v>9.0300000000000011</v>
      </c>
      <c r="M7" s="163">
        <v>4</v>
      </c>
      <c r="N7" s="166">
        <f t="shared" si="7"/>
        <v>4</v>
      </c>
      <c r="O7" s="163">
        <f>+L7-M7</f>
        <v>5.0300000000000011</v>
      </c>
      <c r="P7" s="166">
        <f t="shared" si="1"/>
        <v>5.0300000000000011</v>
      </c>
      <c r="Q7" s="163"/>
      <c r="R7" s="166">
        <f t="shared" si="8"/>
        <v>0</v>
      </c>
      <c r="S7" s="163"/>
      <c r="T7" s="166">
        <f t="shared" si="9"/>
        <v>0</v>
      </c>
      <c r="U7" s="163"/>
      <c r="V7" s="166">
        <f t="shared" si="10"/>
        <v>0</v>
      </c>
      <c r="W7" s="167">
        <f t="shared" si="11"/>
        <v>6125.9821150386988</v>
      </c>
      <c r="AA7" s="231">
        <v>0.18</v>
      </c>
      <c r="AB7" s="231">
        <v>0.4</v>
      </c>
      <c r="AC7" s="232">
        <v>0.1</v>
      </c>
      <c r="AD7" s="232">
        <v>0.02</v>
      </c>
      <c r="AE7" s="232">
        <v>0.05</v>
      </c>
      <c r="AF7" s="232">
        <v>0.02</v>
      </c>
      <c r="AG7" s="232">
        <v>0.15</v>
      </c>
      <c r="AH7" s="232">
        <v>0.04</v>
      </c>
      <c r="AI7" s="232">
        <v>0.01</v>
      </c>
      <c r="AP7" s="12">
        <f>SUM(AP2:AP6)</f>
        <v>287.54145854145861</v>
      </c>
      <c r="AT7" s="164">
        <v>295</v>
      </c>
      <c r="AU7" s="239">
        <f t="shared" si="12"/>
        <v>1807164.7239364162</v>
      </c>
    </row>
    <row r="8" spans="1:47" ht="16.5">
      <c r="A8" s="173" t="s">
        <v>279</v>
      </c>
      <c r="B8" s="162">
        <f t="shared" si="3"/>
        <v>0</v>
      </c>
      <c r="C8" s="163">
        <f t="shared" si="4"/>
        <v>0</v>
      </c>
      <c r="D8" s="163">
        <f t="shared" si="0"/>
        <v>0</v>
      </c>
      <c r="E8" s="97">
        <v>0.94</v>
      </c>
      <c r="F8" s="97">
        <f t="shared" si="13"/>
        <v>6.0000000000000053E-2</v>
      </c>
      <c r="G8" s="164">
        <v>240</v>
      </c>
      <c r="H8" s="186">
        <v>400</v>
      </c>
      <c r="I8" s="186">
        <f t="shared" si="5"/>
        <v>0</v>
      </c>
      <c r="J8" s="238"/>
      <c r="K8" s="164">
        <v>3.5</v>
      </c>
      <c r="L8" s="235">
        <f t="shared" si="6"/>
        <v>0</v>
      </c>
      <c r="M8" s="163"/>
      <c r="N8" s="166">
        <f t="shared" si="7"/>
        <v>0</v>
      </c>
      <c r="O8" s="163"/>
      <c r="P8" s="166">
        <f>+O8*K8</f>
        <v>0</v>
      </c>
      <c r="Q8" s="163"/>
      <c r="R8" s="166">
        <f>+Q8*K8</f>
        <v>0</v>
      </c>
      <c r="S8" s="163"/>
      <c r="T8" s="166">
        <f t="shared" si="9"/>
        <v>0</v>
      </c>
      <c r="U8" s="163"/>
      <c r="V8" s="166">
        <f t="shared" si="10"/>
        <v>0</v>
      </c>
      <c r="W8" s="167">
        <f t="shared" si="11"/>
        <v>0</v>
      </c>
      <c r="AA8" s="231">
        <v>3.8</v>
      </c>
      <c r="AB8" s="231">
        <v>0.9</v>
      </c>
      <c r="AC8" s="232">
        <v>0.27</v>
      </c>
      <c r="AD8" s="232">
        <v>0.05</v>
      </c>
      <c r="AE8" s="232">
        <v>0</v>
      </c>
      <c r="AF8" s="232">
        <v>2.5000000000000001E-2</v>
      </c>
      <c r="AG8" s="232">
        <v>0</v>
      </c>
      <c r="AH8" s="232">
        <v>0</v>
      </c>
      <c r="AI8" s="232">
        <v>0</v>
      </c>
      <c r="AT8" s="164">
        <v>240</v>
      </c>
      <c r="AU8" s="239">
        <f t="shared" si="12"/>
        <v>0</v>
      </c>
    </row>
    <row r="9" spans="1:47" ht="16.5">
      <c r="A9" s="169" t="s">
        <v>83</v>
      </c>
      <c r="B9" s="162">
        <f t="shared" si="3"/>
        <v>2.0300000000000002</v>
      </c>
      <c r="C9" s="163">
        <f t="shared" si="4"/>
        <v>1.9488000000000001</v>
      </c>
      <c r="D9" s="163">
        <f t="shared" si="0"/>
        <v>8.1200000000000161E-2</v>
      </c>
      <c r="E9" s="97">
        <v>0.96</v>
      </c>
      <c r="F9" s="97">
        <f t="shared" si="13"/>
        <v>4.0000000000000036E-2</v>
      </c>
      <c r="G9" s="164">
        <v>205</v>
      </c>
      <c r="H9" s="186">
        <v>470</v>
      </c>
      <c r="I9" s="186">
        <f t="shared" si="5"/>
        <v>27.26</v>
      </c>
      <c r="J9" s="238">
        <v>5.8000000000000003E-2</v>
      </c>
      <c r="K9" s="164">
        <v>0.6</v>
      </c>
      <c r="L9" s="235">
        <f t="shared" si="6"/>
        <v>3.3833333333333337</v>
      </c>
      <c r="M9" s="163">
        <v>3.4</v>
      </c>
      <c r="N9" s="166">
        <f t="shared" si="7"/>
        <v>2.04</v>
      </c>
      <c r="O9" s="163"/>
      <c r="P9" s="166">
        <f t="shared" si="1"/>
        <v>0</v>
      </c>
      <c r="Q9" s="163"/>
      <c r="R9" s="166">
        <f t="shared" si="8"/>
        <v>0</v>
      </c>
      <c r="S9" s="163"/>
      <c r="T9" s="166">
        <f t="shared" si="9"/>
        <v>0</v>
      </c>
      <c r="U9" s="163"/>
      <c r="V9" s="166">
        <f t="shared" si="10"/>
        <v>0</v>
      </c>
      <c r="W9" s="167">
        <f t="shared" si="11"/>
        <v>1377.1587700474595</v>
      </c>
      <c r="AA9" s="231">
        <v>0.25</v>
      </c>
      <c r="AB9" s="231">
        <v>0.3</v>
      </c>
      <c r="AC9" s="232">
        <v>0.01</v>
      </c>
      <c r="AD9" s="232">
        <v>0.03</v>
      </c>
      <c r="AE9" s="232">
        <v>0.18</v>
      </c>
      <c r="AF9" s="232">
        <v>7.0000000000000007E-2</v>
      </c>
      <c r="AG9" s="232">
        <v>0.35</v>
      </c>
      <c r="AH9" s="232">
        <v>0.2</v>
      </c>
      <c r="AI9" s="232">
        <v>0.04</v>
      </c>
      <c r="AK9" t="s">
        <v>257</v>
      </c>
      <c r="AL9" s="3">
        <f>+AL2/12*16</f>
        <v>46.349999999999994</v>
      </c>
      <c r="AM9" s="3">
        <f>+AM2/55*16</f>
        <v>22.117818181818183</v>
      </c>
      <c r="AN9" s="3">
        <f>+AN2/28*16</f>
        <v>12.670857142857143</v>
      </c>
      <c r="AT9" s="164">
        <v>205</v>
      </c>
      <c r="AU9" s="239">
        <f t="shared" si="12"/>
        <v>282317.54785972921</v>
      </c>
    </row>
    <row r="10" spans="1:47" ht="18">
      <c r="A10" s="60"/>
      <c r="B10" s="174">
        <v>35</v>
      </c>
      <c r="C10" s="60"/>
      <c r="D10" s="60"/>
      <c r="E10" s="60"/>
      <c r="F10" s="60"/>
      <c r="G10" s="60"/>
      <c r="H10" s="186"/>
      <c r="I10" s="215">
        <f>SUM(I2:I9)</f>
        <v>455.40999999999997</v>
      </c>
      <c r="J10" s="175">
        <f>SUM(J2:J9)</f>
        <v>1</v>
      </c>
      <c r="K10" s="176">
        <f>SUMPRODUCT(K2:K9,J2:J9)</f>
        <v>0.60911000000000004</v>
      </c>
      <c r="L10" s="177">
        <f>SUM(L2:L9)</f>
        <v>69.146230620155038</v>
      </c>
      <c r="M10" s="178">
        <f t="shared" ref="M10:V10" si="14">SUM(M2:M9)</f>
        <v>26.18333333333333</v>
      </c>
      <c r="N10" s="179">
        <f>SUM(N2:N9)</f>
        <v>15.024999999999999</v>
      </c>
      <c r="O10" s="178">
        <f>SUM(O2:O9)</f>
        <v>25.23</v>
      </c>
      <c r="P10" s="179">
        <f>SUM(P2:P9)</f>
        <v>13.034000000000001</v>
      </c>
      <c r="Q10" s="237">
        <f t="shared" si="14"/>
        <v>17.749563953488373</v>
      </c>
      <c r="R10" s="179">
        <f t="shared" si="14"/>
        <v>6.9509999999999996</v>
      </c>
      <c r="S10" s="178">
        <f t="shared" si="14"/>
        <v>0</v>
      </c>
      <c r="T10" s="179">
        <f t="shared" si="14"/>
        <v>0</v>
      </c>
      <c r="U10" s="178">
        <f t="shared" si="14"/>
        <v>0</v>
      </c>
      <c r="V10" s="179">
        <f t="shared" si="14"/>
        <v>0</v>
      </c>
      <c r="W10" s="180">
        <f>+B10*$Y$2</f>
        <v>23744.116724956195</v>
      </c>
      <c r="X10" s="101">
        <f>+N10+P10+R10+T10</f>
        <v>35.01</v>
      </c>
      <c r="Y10" s="101"/>
      <c r="AA10" s="10"/>
      <c r="AB10" s="10"/>
      <c r="AC10" s="1"/>
      <c r="AD10" s="1"/>
      <c r="AE10" s="1"/>
      <c r="AF10" s="1"/>
      <c r="AG10" s="1"/>
      <c r="AH10" s="1"/>
      <c r="AI10" s="1"/>
      <c r="AK10" t="s">
        <v>258</v>
      </c>
      <c r="AL10" s="3">
        <f>+AL4/12*16</f>
        <v>38.752000000000002</v>
      </c>
      <c r="AM10" s="3">
        <f>+AM4/55*16</f>
        <v>19.823709090909091</v>
      </c>
      <c r="AN10" s="3">
        <f>+AN4/28*16</f>
        <v>12.021714285714285</v>
      </c>
      <c r="AU10" s="239">
        <f>(SUM(AU2:AU9))/Y1</f>
        <v>240.72011670205592</v>
      </c>
    </row>
    <row r="11" spans="1:47">
      <c r="A11" s="32" t="s">
        <v>2</v>
      </c>
      <c r="B11" s="38">
        <f>SUM(B2:B9)</f>
        <v>35</v>
      </c>
      <c r="C11" s="36">
        <f>SUM(C2:C9)</f>
        <v>31.720849999999999</v>
      </c>
      <c r="D11" s="36">
        <f>+D2*0.5+D4*0.5+D7*0.9+D9*0.9</f>
        <v>1.7708600000000003</v>
      </c>
      <c r="E11" s="36"/>
      <c r="F11" s="43" t="s">
        <v>57</v>
      </c>
      <c r="G11" s="224">
        <f>+SUMPRODUCT(B2:B9,G2:G9)/C11/E15</f>
        <v>238.48587346459317</v>
      </c>
      <c r="H11" s="44">
        <f>+G11</f>
        <v>238.48587346459317</v>
      </c>
      <c r="I11" s="187">
        <f>370/I10</f>
        <v>0.81245471113941292</v>
      </c>
      <c r="J11" s="35"/>
      <c r="L11" s="113" t="s">
        <v>235</v>
      </c>
      <c r="M11" s="104">
        <f>+B18*0.95</f>
        <v>26.599999999999998</v>
      </c>
      <c r="O11" s="104">
        <f>+M11</f>
        <v>26.599999999999998</v>
      </c>
      <c r="Q11" s="104">
        <f>+O11</f>
        <v>26.599999999999998</v>
      </c>
      <c r="S11" s="104">
        <f>+Q11</f>
        <v>26.599999999999998</v>
      </c>
      <c r="U11" s="104">
        <f>+S11</f>
        <v>26.599999999999998</v>
      </c>
      <c r="AA11" s="147">
        <f>SUMPRODUCT($B$2:$B$9,AA2:AA9)/$B$10</f>
        <v>0.23194000000000001</v>
      </c>
      <c r="AB11" s="147">
        <f t="shared" ref="AB11:AI11" si="15">SUMPRODUCT($B$2:$B$9,AB2:AB9)/$B$10</f>
        <v>0.53100000000000014</v>
      </c>
      <c r="AC11" s="147">
        <f t="shared" si="15"/>
        <v>0.16318000000000002</v>
      </c>
      <c r="AD11" s="147">
        <f t="shared" si="15"/>
        <v>2.742E-2</v>
      </c>
      <c r="AE11" s="147">
        <f t="shared" si="15"/>
        <v>0.15330000000000002</v>
      </c>
      <c r="AF11" s="147">
        <f t="shared" si="15"/>
        <v>3.6580000000000008E-2</v>
      </c>
      <c r="AG11" s="147">
        <f t="shared" si="15"/>
        <v>0.28472000000000003</v>
      </c>
      <c r="AH11" s="147">
        <f t="shared" si="15"/>
        <v>0.15188000000000001</v>
      </c>
      <c r="AI11" s="147">
        <f t="shared" si="15"/>
        <v>3.2259999999999997E-2</v>
      </c>
      <c r="AK11" t="s">
        <v>259</v>
      </c>
      <c r="AL11" s="3">
        <f>+AL5/12*16</f>
        <v>23.169999999999998</v>
      </c>
      <c r="AM11" s="3">
        <f>+AM5/55*16</f>
        <v>12.132654545454544</v>
      </c>
      <c r="AN11" s="3">
        <f>+AN5/28*16</f>
        <v>7.9440000000000008</v>
      </c>
    </row>
    <row r="12" spans="1:47">
      <c r="C12" s="128">
        <f>(C11*0.98+C13)/B11</f>
        <v>0.89789808571428564</v>
      </c>
      <c r="F12" s="189" t="s">
        <v>275</v>
      </c>
      <c r="G12" s="189">
        <v>18</v>
      </c>
      <c r="H12" s="189">
        <v>18</v>
      </c>
      <c r="I12" s="189"/>
      <c r="K12" s="3">
        <f>+B18*0.9*K10</f>
        <v>15.349572</v>
      </c>
      <c r="L12" s="113" t="s">
        <v>264</v>
      </c>
      <c r="N12" s="1"/>
      <c r="O12" s="114">
        <f>+B17-N17/7</f>
        <v>28.322752568882422</v>
      </c>
      <c r="P12" s="1"/>
      <c r="Q12" s="114">
        <f>+O12-P17/7</f>
        <v>26.46075256888242</v>
      </c>
      <c r="R12" s="1"/>
      <c r="S12" s="114">
        <f>+Q12-R17/7</f>
        <v>25.233161998726924</v>
      </c>
      <c r="T12" s="1"/>
      <c r="U12" s="114"/>
      <c r="V12" s="3">
        <f>+N10+P10+R10+T10</f>
        <v>35.01</v>
      </c>
      <c r="W12" s="185">
        <f>+B4*X5</f>
        <v>327.05605940504176</v>
      </c>
      <c r="AA12" s="10"/>
      <c r="AB12" s="10"/>
      <c r="AC12" s="1"/>
      <c r="AD12" s="1"/>
      <c r="AE12" s="1"/>
      <c r="AF12" s="1"/>
      <c r="AG12" s="1"/>
      <c r="AH12" s="1"/>
      <c r="AI12" s="1"/>
      <c r="AK12" t="s">
        <v>260</v>
      </c>
      <c r="AL12" s="3">
        <f>+AL6/12*16</f>
        <v>0</v>
      </c>
      <c r="AM12" s="3">
        <f>+AM6/55*16</f>
        <v>0</v>
      </c>
      <c r="AN12" s="3">
        <f>+AN6/28*16</f>
        <v>0</v>
      </c>
    </row>
    <row r="13" spans="1:47">
      <c r="A13" t="s">
        <v>275</v>
      </c>
      <c r="C13" s="1">
        <v>0.34</v>
      </c>
      <c r="F13" s="129" t="s">
        <v>206</v>
      </c>
      <c r="G13" s="130">
        <v>150</v>
      </c>
      <c r="H13" s="130">
        <f>+I13/I16</f>
        <v>137.06896551724137</v>
      </c>
      <c r="I13" s="130">
        <f>+G13*I15</f>
        <v>3975000</v>
      </c>
      <c r="L13" s="111" t="s">
        <v>201</v>
      </c>
      <c r="M13" s="111"/>
      <c r="N13" s="236">
        <f>(N17+B16)/7+(N10-N17)/N14</f>
        <v>8.257723621593767</v>
      </c>
      <c r="O13" s="10"/>
      <c r="P13" s="236">
        <f>+P10/7+N13</f>
        <v>10.119723621593767</v>
      </c>
      <c r="Q13" s="146"/>
      <c r="R13" s="236">
        <f>+R10/7+P13</f>
        <v>11.112723621593767</v>
      </c>
      <c r="T13" s="112">
        <f>+T10/7+R13</f>
        <v>11.112723621593767</v>
      </c>
      <c r="V13" s="112"/>
      <c r="W13" s="126"/>
      <c r="AA13" s="146"/>
      <c r="AB13" s="146"/>
      <c r="AC13">
        <f>+AC11%*B11*1000</f>
        <v>57.113000000000007</v>
      </c>
      <c r="AP13" t="s">
        <v>261</v>
      </c>
    </row>
    <row r="14" spans="1:47">
      <c r="A14" t="s">
        <v>277</v>
      </c>
      <c r="D14" s="3">
        <f>+SUM(D2:D9)-D11</f>
        <v>1.5082900000000001</v>
      </c>
      <c r="F14" s="131" t="s">
        <v>207</v>
      </c>
      <c r="G14" s="132">
        <f>+G11+G13+G12</f>
        <v>406.48587346459317</v>
      </c>
      <c r="H14" s="132">
        <f>+H11+H13+H12</f>
        <v>393.55483898183456</v>
      </c>
      <c r="I14" s="132"/>
      <c r="L14" s="244" t="s">
        <v>284</v>
      </c>
      <c r="M14" s="244"/>
      <c r="N14" s="10">
        <f>+SUMPRODUCT($K$2:$K$9,M2:M9)/M10</f>
        <v>0.57383831954169318</v>
      </c>
      <c r="O14" s="146"/>
      <c r="P14" s="10">
        <f>+SUMPRODUCT($K$2:$K$9,O2:O9)/O10</f>
        <v>0.51660721363456208</v>
      </c>
      <c r="Q14" s="146"/>
      <c r="R14" s="10">
        <f>+SUMPRODUCT($K$2:$K$9,Q2:Q9)/Q10</f>
        <v>0.39161525422340865</v>
      </c>
      <c r="T14" s="10" t="e">
        <f>+SUMPRODUCT($K$2:$K$9,T2:T9)/T10</f>
        <v>#DIV/0!</v>
      </c>
      <c r="AA14" s="146"/>
      <c r="AB14" s="146"/>
      <c r="AH14" t="s">
        <v>136</v>
      </c>
      <c r="AI14">
        <v>28</v>
      </c>
      <c r="AL14" s="3">
        <f>+AL9/1.43</f>
        <v>32.412587412587413</v>
      </c>
      <c r="AM14" s="3">
        <f>+AM9/1.43</f>
        <v>15.467005721551178</v>
      </c>
      <c r="AN14" s="3">
        <f>+AN9/1.43</f>
        <v>8.8607392607392619</v>
      </c>
      <c r="AO14" s="3">
        <f>SUM(AL14:AN14)</f>
        <v>56.740332394877854</v>
      </c>
      <c r="AP14" s="1">
        <v>70</v>
      </c>
    </row>
    <row r="15" spans="1:47">
      <c r="C15" s="36">
        <f>(C11+C13)*E15</f>
        <v>31.57993725</v>
      </c>
      <c r="D15" t="s">
        <v>247</v>
      </c>
      <c r="E15" s="128">
        <v>0.98499999999999999</v>
      </c>
      <c r="G15">
        <v>273.2</v>
      </c>
      <c r="I15">
        <v>26500</v>
      </c>
      <c r="L15" s="244" t="s">
        <v>285</v>
      </c>
      <c r="M15" s="244"/>
      <c r="N15" s="10">
        <f>+SUMPRODUCT($H$2:$H$9,N2:N9)</f>
        <v>6862.19</v>
      </c>
      <c r="O15" s="10"/>
      <c r="P15" s="10">
        <f>+SUMPRODUCT($H$2:$H$9,P2:P9)</f>
        <v>5864.58</v>
      </c>
      <c r="Q15" s="10"/>
      <c r="R15" s="10">
        <f>+SUMPRODUCT($H$2:$H$9,R2:R9)</f>
        <v>3217.2799999999997</v>
      </c>
      <c r="S15" s="12"/>
      <c r="T15" s="12">
        <f>+SUMPRODUCT($H$2:$H$9,T2:T9)</f>
        <v>0</v>
      </c>
      <c r="X15" s="125">
        <f>+Y1*11+15000</f>
        <v>246000</v>
      </c>
      <c r="Y15" s="125"/>
      <c r="AH15" t="s">
        <v>75</v>
      </c>
      <c r="AI15">
        <v>16</v>
      </c>
      <c r="AL15" s="3">
        <f>+AL10/1.43+300*0.7</f>
        <v>237.0993006993007</v>
      </c>
      <c r="AM15" s="3">
        <f t="shared" ref="AL15:AN17" si="16">+AM10/1.43</f>
        <v>13.862733630006359</v>
      </c>
      <c r="AN15" s="3">
        <f t="shared" si="16"/>
        <v>8.406793206793207</v>
      </c>
      <c r="AO15" s="3">
        <f>SUM(AL15:AN15)</f>
        <v>259.36882753610024</v>
      </c>
      <c r="AP15" s="1">
        <v>300</v>
      </c>
    </row>
    <row r="16" spans="1:47">
      <c r="A16" s="122" t="s">
        <v>199</v>
      </c>
      <c r="B16" s="36">
        <v>6</v>
      </c>
      <c r="C16" s="36" t="s">
        <v>200</v>
      </c>
      <c r="D16" t="s">
        <v>248</v>
      </c>
      <c r="E16" s="128">
        <f>+C12</f>
        <v>0.89789808571428564</v>
      </c>
      <c r="G16">
        <v>160</v>
      </c>
      <c r="I16">
        <v>29000</v>
      </c>
      <c r="L16" s="244" t="s">
        <v>286</v>
      </c>
      <c r="M16" s="244"/>
      <c r="N16" s="10">
        <f>O10-(B17-O10)</f>
        <v>20.46</v>
      </c>
      <c r="O16" s="146"/>
      <c r="P16" s="10">
        <f>+O10</f>
        <v>25.23</v>
      </c>
      <c r="Q16" s="10"/>
      <c r="R16" s="10">
        <f>+Q10</f>
        <v>17.749563953488373</v>
      </c>
      <c r="S16" s="1"/>
      <c r="T16" s="12" t="e">
        <f>+T10/T14</f>
        <v>#DIV/0!</v>
      </c>
      <c r="AL16" s="3">
        <f t="shared" si="16"/>
        <v>16.202797202797203</v>
      </c>
      <c r="AM16" s="3">
        <f t="shared" si="16"/>
        <v>8.4843738080101705</v>
      </c>
      <c r="AN16" s="3">
        <f t="shared" si="16"/>
        <v>5.5552447552447557</v>
      </c>
      <c r="AO16" s="3">
        <f>SUM(AL16:AN16)</f>
        <v>30.242415766052133</v>
      </c>
      <c r="AP16" s="1">
        <v>40</v>
      </c>
    </row>
    <row r="17" spans="1:42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0.88442961442857138</v>
      </c>
      <c r="F17" s="101">
        <f>+B11*E17</f>
        <v>30.955036504999999</v>
      </c>
      <c r="G17">
        <f>+G15+G16</f>
        <v>433.2</v>
      </c>
      <c r="L17" s="244" t="s">
        <v>251</v>
      </c>
      <c r="M17" s="244"/>
      <c r="N17" s="10">
        <f>+N14*N16</f>
        <v>11.740732017823042</v>
      </c>
      <c r="O17" s="146"/>
      <c r="P17" s="10">
        <f>+P16*P14</f>
        <v>13.034000000000001</v>
      </c>
      <c r="Q17" s="10"/>
      <c r="R17" s="10">
        <f>+IF(R16=0,B10-N17-P17,R14*R16+(N10-N17)/2)</f>
        <v>8.5931339910884788</v>
      </c>
      <c r="T17" s="3">
        <f>+(N10+P10+R10+T10)-(N17+P17+R17)</f>
        <v>1.6421339910884782</v>
      </c>
      <c r="AL17" s="3">
        <f t="shared" si="16"/>
        <v>0</v>
      </c>
      <c r="AM17" s="3">
        <f t="shared" si="16"/>
        <v>0</v>
      </c>
      <c r="AN17" s="3">
        <f t="shared" si="16"/>
        <v>0</v>
      </c>
      <c r="AO17" s="3">
        <f>SUM(AL17:AN17)</f>
        <v>0</v>
      </c>
      <c r="AP17" s="1">
        <v>20</v>
      </c>
    </row>
    <row r="18" spans="1:42">
      <c r="A18" s="122" t="s">
        <v>186</v>
      </c>
      <c r="B18" s="36">
        <v>28</v>
      </c>
      <c r="C18" s="36" t="s">
        <v>187</v>
      </c>
      <c r="L18" s="244" t="s">
        <v>252</v>
      </c>
      <c r="M18" s="244"/>
      <c r="N18" s="10">
        <f>+N15/N10*N17*$I$11</f>
        <v>4356.5489155196519</v>
      </c>
      <c r="O18" s="10"/>
      <c r="P18" s="10">
        <f>+P15/P10*P17*$I$11</f>
        <v>4764.7056498539778</v>
      </c>
      <c r="Q18" s="10"/>
      <c r="R18" s="10">
        <f>+R15/R10*R17*$I$11</f>
        <v>3231.4118686174311</v>
      </c>
      <c r="S18" s="1"/>
      <c r="T18" s="12" t="e">
        <f>+T15/T10*T17*$I$11</f>
        <v>#DIV/0!</v>
      </c>
      <c r="V18" s="12">
        <f>+B10*F27</f>
        <v>16989.349999999999</v>
      </c>
      <c r="AA18" t="s">
        <v>136</v>
      </c>
      <c r="AB18" t="s">
        <v>280</v>
      </c>
      <c r="AC18" t="s">
        <v>132</v>
      </c>
      <c r="AD18" t="s">
        <v>281</v>
      </c>
      <c r="AE18" t="s">
        <v>31</v>
      </c>
      <c r="AG18" s="101">
        <f>(AC11%*B11*1000)/AA19*AE19</f>
        <v>122.38500000000001</v>
      </c>
    </row>
    <row r="19" spans="1:42">
      <c r="A19" s="36" t="s">
        <v>4</v>
      </c>
      <c r="B19" s="107">
        <v>0.87</v>
      </c>
      <c r="C19" s="36" t="s">
        <v>194</v>
      </c>
      <c r="D19" s="36"/>
      <c r="L19" s="244" t="s">
        <v>262</v>
      </c>
      <c r="M19" s="244"/>
      <c r="N19" s="10">
        <v>90</v>
      </c>
      <c r="O19" s="146"/>
      <c r="P19" s="10">
        <v>100</v>
      </c>
      <c r="Q19" s="146"/>
      <c r="R19" s="10">
        <v>110</v>
      </c>
      <c r="T19" s="12">
        <v>130</v>
      </c>
      <c r="V19" s="12">
        <f>SUM(N19:T19)</f>
        <v>430</v>
      </c>
      <c r="AA19">
        <f>+AI14</f>
        <v>28</v>
      </c>
      <c r="AE19">
        <f>+AI14+2*AI15</f>
        <v>60</v>
      </c>
      <c r="AL19">
        <f>+AL2/330</f>
        <v>0.10534090909090908</v>
      </c>
    </row>
    <row r="20" spans="1:42">
      <c r="L20" s="244" t="s">
        <v>263</v>
      </c>
      <c r="M20" s="244"/>
      <c r="N20" s="10">
        <f>+N18/N10-N19</f>
        <v>199.95333880330463</v>
      </c>
      <c r="O20" s="146"/>
      <c r="P20" s="10">
        <f>+P18/P10-P19</f>
        <v>265.55973989979879</v>
      </c>
      <c r="Q20" s="146"/>
      <c r="R20" s="10">
        <f>+R18/R10-R19</f>
        <v>354.8844581524142</v>
      </c>
      <c r="S20" s="100"/>
      <c r="T20" s="12" t="e">
        <f>+T18/T10-T19</f>
        <v>#DIV/0!</v>
      </c>
      <c r="V20" s="12">
        <f>+V18/B11-V19</f>
        <v>55.409999999999968</v>
      </c>
      <c r="W20">
        <f>+V20*B10</f>
        <v>1939.349999999999</v>
      </c>
      <c r="X20" s="165">
        <v>0.25</v>
      </c>
      <c r="Y20" s="191"/>
    </row>
    <row r="21" spans="1:42">
      <c r="L21" t="s">
        <v>294</v>
      </c>
      <c r="O21" s="146"/>
      <c r="Q21" s="146">
        <f>35-P13</f>
        <v>24.880276378406233</v>
      </c>
      <c r="X21" s="165"/>
      <c r="Y21" s="191"/>
    </row>
    <row r="22" spans="1:42">
      <c r="A22" t="s">
        <v>273</v>
      </c>
      <c r="B22">
        <v>520</v>
      </c>
      <c r="F22" s="192"/>
      <c r="M22" s="228"/>
      <c r="X22" s="165">
        <v>0.35</v>
      </c>
      <c r="Y22" s="191"/>
      <c r="AB22" t="s">
        <v>282</v>
      </c>
      <c r="AD22" s="101">
        <f>+AG18+'Horno Eléctrico'!M3</f>
        <v>690.68537400000002</v>
      </c>
    </row>
    <row r="23" spans="1:42">
      <c r="A23" t="s">
        <v>274</v>
      </c>
      <c r="B23" s="101">
        <f>+B22-G14</f>
        <v>113.51412653540683</v>
      </c>
      <c r="F23" s="192"/>
      <c r="M23" s="228"/>
      <c r="O23" s="101">
        <f>M10-O10</f>
        <v>0.95333333333332959</v>
      </c>
      <c r="X23" s="165">
        <v>0</v>
      </c>
      <c r="Y23" s="191"/>
    </row>
    <row r="24" spans="1:42" ht="18">
      <c r="D24" s="245" t="s">
        <v>295</v>
      </c>
      <c r="E24" s="246"/>
      <c r="F24" s="246"/>
      <c r="G24" s="246"/>
      <c r="H24" s="246"/>
      <c r="I24" s="247"/>
      <c r="M24" s="228"/>
      <c r="X24" s="165"/>
      <c r="Y24" s="191"/>
    </row>
    <row r="25" spans="1:42" ht="15.75">
      <c r="D25" s="193"/>
      <c r="E25" s="194" t="s">
        <v>265</v>
      </c>
      <c r="F25" s="195">
        <f>+I10</f>
        <v>455.40999999999997</v>
      </c>
      <c r="G25" s="194" t="s">
        <v>287</v>
      </c>
      <c r="H25" s="194"/>
      <c r="I25" s="196"/>
      <c r="M25" s="228"/>
      <c r="X25" s="165">
        <v>0.25</v>
      </c>
      <c r="Y25" s="191"/>
    </row>
    <row r="26" spans="1:42" ht="15.75">
      <c r="D26" s="193"/>
      <c r="E26" s="194" t="s">
        <v>32</v>
      </c>
      <c r="F26" s="195">
        <v>30</v>
      </c>
      <c r="G26" s="194" t="s">
        <v>287</v>
      </c>
      <c r="H26" s="194"/>
      <c r="I26" s="196"/>
      <c r="M26" s="228"/>
      <c r="X26" s="165">
        <v>0</v>
      </c>
      <c r="Y26" s="191"/>
    </row>
    <row r="27" spans="1:42" ht="15.75">
      <c r="D27" s="193"/>
      <c r="E27" s="194" t="s">
        <v>2</v>
      </c>
      <c r="F27" s="195">
        <f>+F25+F26</f>
        <v>485.40999999999997</v>
      </c>
      <c r="G27" s="194" t="s">
        <v>287</v>
      </c>
      <c r="H27" s="197">
        <f>+F27*B10</f>
        <v>16989.349999999999</v>
      </c>
      <c r="I27" s="198" t="s">
        <v>269</v>
      </c>
      <c r="M27" s="228"/>
      <c r="N27" t="s">
        <v>265</v>
      </c>
      <c r="O27" s="100">
        <f>+F25</f>
        <v>455.40999999999997</v>
      </c>
      <c r="X27" s="165">
        <v>0.15</v>
      </c>
      <c r="Y27" s="191"/>
    </row>
    <row r="28" spans="1:42" ht="15.75">
      <c r="D28" s="193"/>
      <c r="E28" s="194"/>
      <c r="F28" s="194"/>
      <c r="G28" s="194"/>
      <c r="H28" s="197"/>
      <c r="I28" s="196"/>
      <c r="M28" s="228"/>
      <c r="N28" t="s">
        <v>32</v>
      </c>
      <c r="O28">
        <v>20</v>
      </c>
    </row>
    <row r="29" spans="1:42" ht="15.75">
      <c r="D29" s="193" t="s">
        <v>262</v>
      </c>
      <c r="E29" s="194"/>
      <c r="F29" s="197">
        <v>3800</v>
      </c>
      <c r="G29" s="194" t="s">
        <v>269</v>
      </c>
      <c r="H29" s="197">
        <f>+F29/B10</f>
        <v>108.57142857142857</v>
      </c>
      <c r="I29" s="198" t="s">
        <v>287</v>
      </c>
      <c r="M29" s="228"/>
      <c r="N29" t="s">
        <v>2</v>
      </c>
      <c r="O29" s="100">
        <f>+O27+O28</f>
        <v>475.40999999999997</v>
      </c>
      <c r="Q29" s="127">
        <f>+O29*B10</f>
        <v>16639.349999999999</v>
      </c>
    </row>
    <row r="30" spans="1:42" ht="15.75">
      <c r="D30" s="193" t="s">
        <v>263</v>
      </c>
      <c r="E30" s="194"/>
      <c r="F30" s="197">
        <f>+F27*B10-F29</f>
        <v>13189.349999999999</v>
      </c>
      <c r="G30" s="194" t="s">
        <v>269</v>
      </c>
      <c r="H30" s="197">
        <f>+F30/B10</f>
        <v>376.83857142857141</v>
      </c>
      <c r="I30" s="198" t="s">
        <v>287</v>
      </c>
      <c r="M30" s="228"/>
      <c r="Q30" s="127"/>
    </row>
    <row r="31" spans="1:42" ht="15.75">
      <c r="D31" s="193"/>
      <c r="E31" s="194"/>
      <c r="F31" s="194"/>
      <c r="G31" s="194"/>
      <c r="H31" s="194"/>
      <c r="I31" s="196"/>
      <c r="M31" s="228"/>
      <c r="N31" t="s">
        <v>266</v>
      </c>
      <c r="O31" s="100">
        <v>110</v>
      </c>
      <c r="Q31" s="127">
        <f>+B10*O31</f>
        <v>3850</v>
      </c>
      <c r="R31" s="101">
        <f>+Q31/F17</f>
        <v>124.37394474977054</v>
      </c>
    </row>
    <row r="32" spans="1:42" ht="15.75">
      <c r="D32" s="193"/>
      <c r="E32" s="194" t="s">
        <v>272</v>
      </c>
      <c r="F32" s="194"/>
      <c r="G32" s="194" t="s">
        <v>268</v>
      </c>
      <c r="H32" s="199">
        <v>29.5</v>
      </c>
      <c r="I32" s="196"/>
      <c r="M32" s="228"/>
      <c r="N32" t="s">
        <v>267</v>
      </c>
      <c r="O32" s="100">
        <f>+O29-O31</f>
        <v>365.40999999999997</v>
      </c>
      <c r="P32" t="s">
        <v>269</v>
      </c>
      <c r="Q32" s="127">
        <f>+B10*O32</f>
        <v>12789.349999999999</v>
      </c>
      <c r="R32" s="101">
        <f>+Q32/F17</f>
        <v>413.1589377364877</v>
      </c>
    </row>
    <row r="33" spans="4:17" ht="15.75">
      <c r="D33" s="193"/>
      <c r="E33" s="194"/>
      <c r="F33" s="194"/>
      <c r="G33" s="194"/>
      <c r="H33" s="194"/>
      <c r="I33" s="196"/>
      <c r="M33" s="228"/>
    </row>
    <row r="34" spans="4:17" ht="15.75">
      <c r="D34" s="193"/>
      <c r="E34" s="194"/>
      <c r="F34" s="200" t="s">
        <v>271</v>
      </c>
      <c r="G34" s="199" t="s">
        <v>291</v>
      </c>
      <c r="H34" s="225">
        <f>60/(H32*1000/F30)</f>
        <v>26.82579661016949</v>
      </c>
      <c r="I34" s="196"/>
      <c r="M34" s="228"/>
      <c r="N34" t="s">
        <v>272</v>
      </c>
      <c r="P34" t="s">
        <v>268</v>
      </c>
      <c r="Q34">
        <v>29</v>
      </c>
    </row>
    <row r="35" spans="4:17" ht="16.5" thickBot="1">
      <c r="D35" s="201"/>
      <c r="E35" s="202"/>
      <c r="F35" s="203" t="s">
        <v>288</v>
      </c>
      <c r="G35" s="204" t="s">
        <v>291</v>
      </c>
      <c r="H35" s="226">
        <v>11</v>
      </c>
      <c r="I35" s="196"/>
      <c r="M35" s="228"/>
    </row>
    <row r="36" spans="4:17" ht="16.5" thickTop="1">
      <c r="D36" s="201"/>
      <c r="E36" s="202"/>
      <c r="F36" s="200" t="s">
        <v>289</v>
      </c>
      <c r="G36" s="199" t="s">
        <v>291</v>
      </c>
      <c r="H36" s="225">
        <f>SUM(H34:H35)</f>
        <v>37.82579661016949</v>
      </c>
      <c r="I36" s="196"/>
      <c r="M36" s="228"/>
      <c r="O36" t="s">
        <v>271</v>
      </c>
      <c r="P36" t="s">
        <v>270</v>
      </c>
      <c r="Q36" s="188">
        <f>60/(Q34*1000/Q32)</f>
        <v>26.460724137931031</v>
      </c>
    </row>
    <row r="37" spans="4:17" ht="16.5" thickBot="1">
      <c r="D37" s="205"/>
      <c r="E37" s="206"/>
      <c r="F37" s="206"/>
      <c r="G37" s="206"/>
      <c r="H37" s="207"/>
      <c r="I37" s="208"/>
      <c r="M37" s="228"/>
    </row>
    <row r="38" spans="4:17" ht="21.75" thickTop="1" thickBot="1">
      <c r="D38" s="205"/>
      <c r="E38" s="212" t="s">
        <v>290</v>
      </c>
      <c r="F38" s="213"/>
      <c r="G38" s="214"/>
      <c r="H38" s="227">
        <f>+(C15/H36)*60</f>
        <v>50.092698761315255</v>
      </c>
      <c r="I38" s="208"/>
    </row>
    <row r="39" spans="4:17" ht="15.75" thickTop="1">
      <c r="D39" s="209"/>
      <c r="E39" s="210"/>
      <c r="F39" s="210"/>
      <c r="G39" s="210"/>
      <c r="H39" s="210">
        <v>9</v>
      </c>
      <c r="I39" s="211"/>
    </row>
  </sheetData>
  <mergeCells count="8">
    <mergeCell ref="L20:M20"/>
    <mergeCell ref="D24:I24"/>
    <mergeCell ref="L14:M14"/>
    <mergeCell ref="L15:M15"/>
    <mergeCell ref="L16:M16"/>
    <mergeCell ref="L17:M17"/>
    <mergeCell ref="L18:M18"/>
    <mergeCell ref="L19:M19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12"/>
  <sheetViews>
    <sheetView topLeftCell="A28" zoomScale="145" zoomScaleNormal="145" workbookViewId="0">
      <selection activeCell="G20" sqref="G20"/>
    </sheetView>
  </sheetViews>
  <sheetFormatPr baseColWidth="10" defaultColWidth="11.42578125" defaultRowHeight="12.75"/>
  <cols>
    <col min="1" max="1" width="18.42578125" style="32" customWidth="1"/>
    <col min="2" max="2" width="9.140625" style="32" customWidth="1"/>
    <col min="3" max="3" width="6.7109375" style="32" customWidth="1"/>
    <col min="4" max="4" width="11.140625" style="32" customWidth="1"/>
    <col min="5" max="5" width="10.42578125" style="32" customWidth="1"/>
    <col min="6" max="6" width="9.28515625" style="32" customWidth="1"/>
    <col min="7" max="7" width="9.140625" style="32" customWidth="1"/>
    <col min="8" max="8" width="9.28515625" style="32" customWidth="1"/>
    <col min="9" max="9" width="8" style="32" customWidth="1"/>
    <col min="10" max="10" width="10.42578125" style="32" bestFit="1" customWidth="1"/>
    <col min="11" max="11" width="5.140625" style="32" customWidth="1"/>
    <col min="12" max="12" width="7.28515625" style="32" customWidth="1"/>
    <col min="13" max="13" width="12.42578125" style="32" bestFit="1" customWidth="1"/>
    <col min="14" max="14" width="7.5703125" style="32" bestFit="1" customWidth="1"/>
    <col min="15" max="15" width="9.42578125" style="32" customWidth="1"/>
    <col min="16" max="16" width="12.140625" style="32" bestFit="1" customWidth="1"/>
    <col min="17" max="18" width="11.42578125" style="32"/>
    <col min="19" max="19" width="16" style="32" customWidth="1"/>
    <col min="20" max="16384" width="11.425781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4757.4465272727284</v>
      </c>
      <c r="N1" s="252" t="s">
        <v>42</v>
      </c>
      <c r="O1" s="253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6.5">
      <c r="A2" s="35" t="str">
        <f>+PPC!A2</f>
        <v>LIVIANA</v>
      </c>
      <c r="B2" s="36">
        <f t="shared" ref="B2:B9" si="0">+$B$13*H2</f>
        <v>5.78</v>
      </c>
      <c r="C2" s="36">
        <f>+B2*(1-F2)</f>
        <v>4.8552</v>
      </c>
      <c r="D2" s="36">
        <f>+B2-C2</f>
        <v>0.92480000000000029</v>
      </c>
      <c r="E2" s="37">
        <f>+PPC!E2</f>
        <v>0.84</v>
      </c>
      <c r="F2" s="37">
        <f t="shared" ref="F2:F9" si="1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847.60848600000008</v>
      </c>
      <c r="N2" s="60" t="s">
        <v>29</v>
      </c>
      <c r="O2" s="97">
        <f t="shared" ref="O2:O9" si="2">+M2/$M$10</f>
        <v>0.24827233274884231</v>
      </c>
      <c r="P2" s="94">
        <f>+M2/M3</f>
        <v>1.4914797258254135</v>
      </c>
      <c r="R2" s="65">
        <f>(C14*1000-E19-E39-(E44-B39)-E49-E54)/1000</f>
        <v>31.14071148888889</v>
      </c>
      <c r="S2" s="66">
        <f>+R2/B14</f>
        <v>0.91590327908496738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2.9579999999999997</v>
      </c>
      <c r="C3" s="36">
        <f t="shared" ref="C3:C9" si="3">+B3*(1-F3)</f>
        <v>2.8692599999999997</v>
      </c>
      <c r="D3" s="36">
        <f>+B3-C3</f>
        <v>8.8740000000000041E-2</v>
      </c>
      <c r="E3" s="37">
        <f>+PPC!E3</f>
        <v>0.97</v>
      </c>
      <c r="F3" s="37">
        <f t="shared" si="1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568.30037400000003</v>
      </c>
      <c r="N3" s="60" t="s">
        <v>31</v>
      </c>
      <c r="O3" s="97">
        <f t="shared" si="2"/>
        <v>0.16646041407733089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14.517999999999999</v>
      </c>
      <c r="C4" s="36">
        <f t="shared" si="3"/>
        <v>12.775839999999999</v>
      </c>
      <c r="D4" s="36">
        <f t="shared" ref="D4:D9" si="4">+B4-C4</f>
        <v>1.7421600000000002</v>
      </c>
      <c r="E4" s="37">
        <f>+PPC!E4</f>
        <v>0.88</v>
      </c>
      <c r="F4" s="37">
        <f t="shared" si="1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176.83619488888888</v>
      </c>
      <c r="N4" s="60" t="s">
        <v>33</v>
      </c>
      <c r="O4" s="97">
        <f t="shared" si="2"/>
        <v>5.1796950295626636E-2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6.5">
      <c r="A5" s="35" t="str">
        <f>+PPC!A5</f>
        <v>ALTO RESIDUAL</v>
      </c>
      <c r="B5" s="36">
        <f t="shared" si="0"/>
        <v>0</v>
      </c>
      <c r="C5" s="36">
        <f t="shared" si="3"/>
        <v>0</v>
      </c>
      <c r="D5" s="36">
        <f t="shared" si="4"/>
        <v>0</v>
      </c>
      <c r="E5" s="37">
        <f>+PPC!E5</f>
        <v>0.98</v>
      </c>
      <c r="F5" s="37">
        <f t="shared" si="1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245.93830800000001</v>
      </c>
      <c r="N5" s="60" t="s">
        <v>30</v>
      </c>
      <c r="O5" s="97">
        <f t="shared" si="2"/>
        <v>7.2037595715462505E-2</v>
      </c>
      <c r="P5" s="96">
        <f>1348.181674+3.99660706*O2+37.2199612*O5-1.19891958*O6-6.37252956*O4-2.62999577*O7-7.33636128*O3+2.000343166*O8</f>
        <v>1349.4708163618673</v>
      </c>
      <c r="R5" s="65">
        <f>+R2*S4</f>
        <v>30.673600816555556</v>
      </c>
      <c r="S5" s="66">
        <f>+S2*S4</f>
        <v>0.9021647298986929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3"/>
        <v>0</v>
      </c>
      <c r="D6" s="36">
        <f t="shared" si="4"/>
        <v>0</v>
      </c>
      <c r="E6" s="37">
        <f>+PPC!E6</f>
        <v>0.85</v>
      </c>
      <c r="F6" s="37">
        <f t="shared" si="1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200.33436727272729</v>
      </c>
      <c r="N6" s="60" t="s">
        <v>34</v>
      </c>
      <c r="O6" s="97">
        <f>+M6/$M$10</f>
        <v>5.8679781425127607E-2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8.7720000000000002</v>
      </c>
      <c r="C7" s="36">
        <f t="shared" si="3"/>
        <v>8.4211200000000002</v>
      </c>
      <c r="D7" s="36">
        <f t="shared" si="4"/>
        <v>0.35088000000000008</v>
      </c>
      <c r="E7" s="37">
        <f>+PPC!E7</f>
        <v>0.96</v>
      </c>
      <c r="F7" s="37">
        <f t="shared" si="1"/>
        <v>4.0000000000000036E-2</v>
      </c>
      <c r="G7" s="38">
        <v>300</v>
      </c>
      <c r="H7" s="37">
        <f>+PPC!J7</f>
        <v>0.25800000000000001</v>
      </c>
      <c r="L7" s="32" t="s">
        <v>35</v>
      </c>
      <c r="M7" s="40">
        <f>+B24+I19</f>
        <v>1005.1619200000002</v>
      </c>
      <c r="N7" s="60" t="s">
        <v>35</v>
      </c>
      <c r="O7" s="97">
        <f t="shared" si="2"/>
        <v>0.29442118476938567</v>
      </c>
      <c r="P7" s="95" t="s">
        <v>62</v>
      </c>
      <c r="R7" s="61" t="s">
        <v>166</v>
      </c>
      <c r="S7" s="49" t="e" cm="1">
        <f t="array" ref="S7">+G20+T25G25+G30+G35+G40+G45+G50</f>
        <v>#NAME?</v>
      </c>
      <c r="T7" s="183" t="e">
        <f>+S7/R2</f>
        <v>#NAME?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6.5">
      <c r="A8" s="35" t="str">
        <f>+PPC!A8</f>
        <v>ARRABIO</v>
      </c>
      <c r="B8" s="36">
        <f t="shared" si="0"/>
        <v>0</v>
      </c>
      <c r="C8" s="36">
        <f t="shared" si="3"/>
        <v>0</v>
      </c>
      <c r="D8" s="36">
        <f t="shared" si="4"/>
        <v>0</v>
      </c>
      <c r="E8" s="37">
        <f>+PPC!E8</f>
        <v>0.94</v>
      </c>
      <c r="F8" s="37">
        <f t="shared" si="1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19.847505483870968</v>
      </c>
      <c r="N8" s="60" t="s">
        <v>102</v>
      </c>
      <c r="O8" s="59">
        <f t="shared" si="2"/>
        <v>5.813517168734534E-3</v>
      </c>
      <c r="P8" s="94">
        <f>+O2/(O3+O4)</f>
        <v>1.1375209879497825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1.9720000000000002</v>
      </c>
      <c r="C9" s="36">
        <f t="shared" si="3"/>
        <v>1.8931200000000001</v>
      </c>
      <c r="D9" s="36">
        <f t="shared" si="4"/>
        <v>7.8880000000000061E-2</v>
      </c>
      <c r="E9" s="37">
        <f>+PPC!E9</f>
        <v>0.96</v>
      </c>
      <c r="F9" s="37">
        <f t="shared" si="1"/>
        <v>4.0000000000000036E-2</v>
      </c>
      <c r="G9" s="38">
        <v>190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2"/>
        <v>0.1025182237994899</v>
      </c>
      <c r="R9" s="61" t="s">
        <v>127</v>
      </c>
      <c r="S9" s="62">
        <v>1000</v>
      </c>
      <c r="T9" s="183">
        <f>+S9/R5</f>
        <v>32.601324049971559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111.30180561660123</v>
      </c>
      <c r="L10" s="133" t="s">
        <v>32</v>
      </c>
      <c r="M10" s="134">
        <f>SUM(M2:M9)</f>
        <v>3414.0271556454873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16.30066202498578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 t="e">
        <f>+S9-S7</f>
        <v>#NAME?</v>
      </c>
      <c r="T11" s="183" t="e">
        <f>+S11*1.4284</f>
        <v>#NAME?</v>
      </c>
      <c r="U11" s="183" t="e">
        <f>+T11*1000</f>
        <v>#NAME?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6.5">
      <c r="B13" s="63">
        <v>34</v>
      </c>
      <c r="M13" s="35" t="s">
        <v>53</v>
      </c>
      <c r="N13" s="37">
        <f>2.19063*10^-4*P2^6-5.15999*10^-3*P2^5+4.94488*10^-2*P2^4-2.47772*10^-1*P2^3+6.92834*10^-1*P2^2-1.05363*P2+7.70403*10^-1</f>
        <v>0.12711421697052983</v>
      </c>
      <c r="O13" s="40">
        <f>+(N13-O5)*M10</f>
        <v>188.03308060600128</v>
      </c>
      <c r="P13" s="36">
        <f>27*O13*0.6</f>
        <v>3046.1359058172206</v>
      </c>
      <c r="R13" s="181" t="s">
        <v>52</v>
      </c>
      <c r="S13" s="184" t="e">
        <f>+U11/R2*0.5</f>
        <v>#NAME?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34</v>
      </c>
      <c r="C14" s="36">
        <f>SUM(C2:C12)+C75/1000</f>
        <v>31.678398399999999</v>
      </c>
      <c r="D14" s="36">
        <f>SUM(D2:D9)</f>
        <v>3.1854600000000008</v>
      </c>
      <c r="E14" s="36"/>
      <c r="F14" s="43" t="s">
        <v>57</v>
      </c>
      <c r="G14" s="44">
        <f>+SUMPRODUCT(B2:B12,G2:G12)/R2</f>
        <v>232.90668880792441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>
        <f>+C14*0.98</f>
        <v>31.044830431999998</v>
      </c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3.5" thickBot="1">
      <c r="A16" s="33" t="s">
        <v>212</v>
      </c>
      <c r="B16" s="34">
        <f>+D14*1000</f>
        <v>3185.4600000000009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+G75</f>
        <v>424.91537400000004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+F75</f>
        <v>122.24730600000001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+D75</f>
        <v>245.60848600000003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3.5" thickBot="1">
      <c r="A20" s="35" t="s">
        <v>107</v>
      </c>
      <c r="B20" s="40">
        <f>+E75</f>
        <v>65.938308000000006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3.5" thickBot="1">
      <c r="A21" s="35" t="s">
        <v>108</v>
      </c>
      <c r="B21" s="40">
        <f>+H75</f>
        <v>28.347840000000012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+K75</f>
        <v>0</v>
      </c>
      <c r="D22" s="250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6.5">
      <c r="A23" s="35" t="s">
        <v>141</v>
      </c>
      <c r="B23" s="40">
        <f>+I75</f>
        <v>16.380690000000001</v>
      </c>
      <c r="D23" s="251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+J75</f>
        <v>605.16192000000024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3.5" thickBot="1">
      <c r="A25" s="35"/>
      <c r="B25" s="51">
        <f>SUM(B17:B24)</f>
        <v>1508.5999240000001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3.5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50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+B27*0.58+B26*0.86</f>
        <v>602</v>
      </c>
      <c r="D28" s="251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+B27*0.32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3.5" thickBot="1">
      <c r="A30" s="32" t="s">
        <v>31</v>
      </c>
      <c r="B30" s="40">
        <f>+B27*0.03+B26*0.03</f>
        <v>21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3.5" thickBot="1">
      <c r="B31" s="51">
        <f>SUM(B28:B30)</f>
        <v>623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300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0.35009653290681575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180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0.41517246348328579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3.5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0.2347310036098986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3.5" thickBot="1">
      <c r="B36" s="51">
        <f>+B32-B34-B35</f>
        <v>-180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171.98652727272727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23.8</v>
      </c>
      <c r="C39" s="99">
        <f>+B39/R2/1000</f>
        <v>7.6427283970348337E-4</v>
      </c>
      <c r="D39" s="82"/>
      <c r="E39" s="74">
        <f>+B14*1000*(M27-N27)%</f>
        <v>2.5228000000000002</v>
      </c>
      <c r="F39" s="71"/>
      <c r="G39" s="74">
        <f>+E39*0.6/E37*G37</f>
        <v>1.953135483870968</v>
      </c>
      <c r="H39" s="71"/>
      <c r="I39" s="75">
        <f>+G39/G37*I37</f>
        <v>3.4668154838709682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3.5" thickBot="1">
      <c r="A40" s="89" t="s">
        <v>137</v>
      </c>
      <c r="B40" s="90">
        <f>+B22+((D24+D29)*0.008)</f>
        <v>4.96</v>
      </c>
      <c r="C40" s="99">
        <f>+B40/R2/1000</f>
        <v>1.5927702877854106E-4</v>
      </c>
      <c r="D40" s="76"/>
      <c r="E40" s="77"/>
      <c r="F40" s="77"/>
      <c r="G40" s="78">
        <f>+G39/1.4284</f>
        <v>1.3673589217802913</v>
      </c>
      <c r="H40" s="77"/>
      <c r="I40" s="79"/>
      <c r="L40" s="35" t="s">
        <v>245</v>
      </c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3.5" thickBot="1">
      <c r="A41" s="89" t="s">
        <v>129</v>
      </c>
      <c r="B41" s="90">
        <f>+E39*0.4</f>
        <v>1.00912</v>
      </c>
      <c r="C41" s="99">
        <f>+B41/R2/1000</f>
        <v>3.240516840342769E-5</v>
      </c>
      <c r="L41" s="105" t="s">
        <v>139</v>
      </c>
      <c r="M41" s="105" t="s">
        <v>74</v>
      </c>
      <c r="N41" s="105" t="s">
        <v>136</v>
      </c>
      <c r="O41" s="105" t="s">
        <v>226</v>
      </c>
      <c r="P41" s="105" t="s">
        <v>227</v>
      </c>
      <c r="Q41" s="105" t="s">
        <v>100</v>
      </c>
      <c r="R41" s="105" t="s">
        <v>228</v>
      </c>
      <c r="S41" s="105" t="s">
        <v>229</v>
      </c>
      <c r="T41" s="105" t="s">
        <v>230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L42" s="38">
        <f>+PPC!AA11</f>
        <v>0.23194000000000001</v>
      </c>
      <c r="M42" s="38">
        <f>+PPC!AB11</f>
        <v>0.53100000000000014</v>
      </c>
      <c r="N42" s="38">
        <f>+PPC!AC11</f>
        <v>0.16318000000000002</v>
      </c>
      <c r="O42" s="38">
        <f>+PPC!AD11</f>
        <v>2.742E-2</v>
      </c>
      <c r="P42" s="38">
        <f>+PPC!AE11</f>
        <v>0.15330000000000002</v>
      </c>
      <c r="Q42" s="38">
        <f>+PPC!AF11</f>
        <v>3.6580000000000008E-2</v>
      </c>
      <c r="R42" s="38">
        <f>+PPC!AG11</f>
        <v>0.28472000000000003</v>
      </c>
      <c r="S42" s="38">
        <f>+PPC!AH11</f>
        <v>0.15188000000000001</v>
      </c>
      <c r="T42" s="38">
        <f>+PPC!AI11</f>
        <v>3.2259999999999997E-2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156.74</v>
      </c>
      <c r="F44" s="71"/>
      <c r="G44" s="74">
        <f>+E44*0.85/E42*G42</f>
        <v>38.757527272727273</v>
      </c>
      <c r="H44" s="71"/>
      <c r="I44" s="75">
        <f>+G44/G42*I42</f>
        <v>171.98652727272727</v>
      </c>
      <c r="L44" s="32" t="s">
        <v>139</v>
      </c>
      <c r="M44" s="32" t="s">
        <v>125</v>
      </c>
      <c r="N44" s="32" t="s">
        <v>246</v>
      </c>
      <c r="O44" s="32" t="s">
        <v>126</v>
      </c>
      <c r="P44" s="32" t="s">
        <v>236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3.5" thickBot="1">
      <c r="D45" s="76"/>
      <c r="E45" s="77"/>
      <c r="F45" s="77"/>
      <c r="G45" s="78">
        <f>+G44/1.4284</f>
        <v>27.133525113922765</v>
      </c>
      <c r="H45" s="77"/>
      <c r="I45" s="79"/>
      <c r="L45" s="40">
        <f>+C14*L42%*1000</f>
        <v>73.474877248959999</v>
      </c>
      <c r="N45" s="40">
        <f>+L45/12*32</f>
        <v>195.93300599722667</v>
      </c>
      <c r="P45" s="40">
        <f>+L45/12*44</f>
        <v>269.40788324618666</v>
      </c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3.5" thickBot="1">
      <c r="D46" s="71"/>
      <c r="E46" s="71"/>
      <c r="F46" s="71"/>
      <c r="G46" s="91"/>
      <c r="H46" s="71"/>
      <c r="I46" s="71"/>
      <c r="L46" s="35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L47" s="32" t="s">
        <v>74</v>
      </c>
      <c r="M47" s="32" t="s">
        <v>125</v>
      </c>
      <c r="N47" s="32" t="s">
        <v>75</v>
      </c>
      <c r="O47" s="32" t="s">
        <v>126</v>
      </c>
      <c r="P47" s="32" t="s">
        <v>34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L48" s="40">
        <f>+C14*1000*(M42-0.1)%</f>
        <v>136.53389710400003</v>
      </c>
      <c r="N48" s="40">
        <f>+L48/55*16</f>
        <v>39.718951884800006</v>
      </c>
      <c r="P48" s="40">
        <f>+L48/55*71</f>
        <v>176.25284898880003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+PPC!AC13</f>
        <v>57.113000000000007</v>
      </c>
      <c r="F49" s="71"/>
      <c r="G49" s="74">
        <f>+E49*0.85/E47*G47</f>
        <v>55.481200000000001</v>
      </c>
      <c r="H49" s="71"/>
      <c r="I49" s="75">
        <f>+E49/E47*I47</f>
        <v>122.38500000000001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3.5" thickBot="1">
      <c r="D50" s="76"/>
      <c r="E50" s="77"/>
      <c r="F50" s="77"/>
      <c r="G50" s="78">
        <f>+G49/1.4284</f>
        <v>38.841500980117615</v>
      </c>
      <c r="H50" s="77"/>
      <c r="I50" s="79"/>
      <c r="L50" s="32" t="s">
        <v>136</v>
      </c>
      <c r="M50" s="32" t="s">
        <v>125</v>
      </c>
      <c r="N50" s="32" t="s">
        <v>246</v>
      </c>
      <c r="O50" s="32" t="s">
        <v>126</v>
      </c>
      <c r="P50" s="32" t="s">
        <v>31</v>
      </c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3.5" thickBot="1">
      <c r="D51" s="71"/>
      <c r="E51" s="71"/>
      <c r="F51" s="71"/>
      <c r="G51" s="91"/>
      <c r="H51" s="71"/>
      <c r="I51" s="71"/>
      <c r="L51" s="40">
        <f>+C14*1000*N42%</f>
        <v>51.692810509120001</v>
      </c>
      <c r="N51" s="40">
        <f>+L51/28*32</f>
        <v>59.077497724708572</v>
      </c>
      <c r="P51" s="40">
        <f>+L51/28*60</f>
        <v>110.77030823382857</v>
      </c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34</v>
      </c>
      <c r="F54" s="71"/>
      <c r="G54" s="74">
        <f>+E54*0.85/E52*G52</f>
        <v>25.68888888888889</v>
      </c>
      <c r="H54" s="71"/>
      <c r="I54" s="75">
        <f>+G54/G52*I52</f>
        <v>54.588888888888889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3.5" thickBot="1">
      <c r="D55" s="76"/>
      <c r="E55" s="77"/>
      <c r="F55" s="77"/>
      <c r="G55" s="78">
        <f>+G54/1.4284</f>
        <v>17.984380347863969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29.442118476938568</v>
      </c>
      <c r="FT60" s="36">
        <f>+O5*100</f>
        <v>7.2037595715462501</v>
      </c>
    </row>
    <row r="63" spans="2:176">
      <c r="B63" s="40"/>
    </row>
    <row r="64" spans="2:176">
      <c r="B64" s="40"/>
    </row>
    <row r="65" spans="1:18">
      <c r="B65" s="40"/>
    </row>
    <row r="66" spans="1:18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8">
      <c r="A67" s="35" t="s">
        <v>10</v>
      </c>
      <c r="B67" s="36">
        <f>+D2*1000</f>
        <v>924.8000000000003</v>
      </c>
      <c r="C67" s="36">
        <f>+B67*F81%</f>
        <v>258.94400000000013</v>
      </c>
      <c r="D67" s="36" t="s">
        <v>301</v>
      </c>
      <c r="E67" s="36">
        <f>+B67*F83%</f>
        <v>17.941120000000005</v>
      </c>
      <c r="F67" s="36">
        <f>+B67*F84%</f>
        <v>33.015360000000008</v>
      </c>
      <c r="G67" s="36">
        <f>+B67*F85%</f>
        <v>113.10304000000004</v>
      </c>
      <c r="H67" s="36">
        <f>+B67*F86%</f>
        <v>8.1382400000000032</v>
      </c>
      <c r="I67" s="36">
        <f>+B67*F87%</f>
        <v>4.5315200000000013</v>
      </c>
      <c r="J67" s="36">
        <f>+B67*F88%</f>
        <v>184.96000000000006</v>
      </c>
      <c r="K67" s="36">
        <f>+B67*F89%</f>
        <v>0</v>
      </c>
      <c r="L67" s="36">
        <f>+C67*F90%</f>
        <v>0</v>
      </c>
    </row>
    <row r="68" spans="1:18">
      <c r="A68" s="35" t="s">
        <v>76</v>
      </c>
      <c r="B68" s="36">
        <f>+D3*1000</f>
        <v>88.740000000000038</v>
      </c>
      <c r="C68" s="36">
        <f>+B68*D81%</f>
        <v>24.847200000000011</v>
      </c>
      <c r="D68" s="36">
        <f>+B68*D82%</f>
        <v>9.1135980000000032</v>
      </c>
      <c r="E68" s="36">
        <f>+B68*D83%</f>
        <v>1.7215560000000008</v>
      </c>
      <c r="F68" s="36">
        <f>+B68*D84%</f>
        <v>3.1680180000000009</v>
      </c>
      <c r="G68" s="36">
        <f>+B68*D85%</f>
        <v>10.852902000000006</v>
      </c>
      <c r="H68" s="36">
        <f>+B68*D86%</f>
        <v>0.78091200000000038</v>
      </c>
      <c r="I68" s="36">
        <f>+B68*D87%</f>
        <v>0.43482600000000016</v>
      </c>
      <c r="J68" s="36">
        <f>+B68*D88%</f>
        <v>17.748000000000008</v>
      </c>
      <c r="K68" s="36">
        <f>+B68*D89%</f>
        <v>0</v>
      </c>
      <c r="L68" s="36">
        <f>+C68*D90%</f>
        <v>0</v>
      </c>
    </row>
    <row r="69" spans="1:18">
      <c r="A69" s="35" t="s">
        <v>9</v>
      </c>
      <c r="B69" s="36">
        <f>+D4*1000</f>
        <v>1742.16</v>
      </c>
      <c r="C69" s="36">
        <f>+B69*C81%</f>
        <v>487.80480000000006</v>
      </c>
      <c r="D69" s="36">
        <f>+B69*C82%</f>
        <v>178.91983200000001</v>
      </c>
      <c r="E69" s="36">
        <f>+B69*C83%</f>
        <v>33.797904000000003</v>
      </c>
      <c r="F69" s="36">
        <f>+B69*C84%</f>
        <v>62.195111999999995</v>
      </c>
      <c r="G69" s="36">
        <f>+B69*C85%</f>
        <v>213.06616800000003</v>
      </c>
      <c r="H69" s="36">
        <f>+B69*C86%</f>
        <v>15.331008000000002</v>
      </c>
      <c r="I69" s="36">
        <f>+B69*C87%</f>
        <v>8.5365839999999995</v>
      </c>
      <c r="J69" s="36">
        <f>+B69*C88%</f>
        <v>348.43200000000002</v>
      </c>
      <c r="K69" s="36">
        <f>+B69*C89%</f>
        <v>0</v>
      </c>
      <c r="L69" s="36">
        <f>+C69*C90%</f>
        <v>0</v>
      </c>
    </row>
    <row r="70" spans="1:18">
      <c r="A70" s="35" t="s">
        <v>278</v>
      </c>
      <c r="B70" s="36">
        <f>+D5*1000</f>
        <v>0</v>
      </c>
      <c r="C70" s="36">
        <f>+B70*D81%</f>
        <v>0</v>
      </c>
      <c r="D70" s="36">
        <f>+B70*D82%</f>
        <v>0</v>
      </c>
      <c r="E70" s="36">
        <f>+B70*D83%</f>
        <v>0</v>
      </c>
      <c r="F70" s="36">
        <f>+B70*D84%</f>
        <v>0</v>
      </c>
      <c r="G70" s="36">
        <f>+B70*D85%</f>
        <v>0</v>
      </c>
      <c r="H70" s="36">
        <f>+B70*D86%</f>
        <v>0</v>
      </c>
      <c r="I70" s="36">
        <f>+B70*D87%</f>
        <v>0</v>
      </c>
      <c r="J70" s="36">
        <f>+B70*D88%</f>
        <v>0</v>
      </c>
      <c r="K70" s="36">
        <f>+B70*D89%</f>
        <v>0</v>
      </c>
      <c r="L70" s="36">
        <f>+C70*D90%</f>
        <v>0</v>
      </c>
    </row>
    <row r="71" spans="1:18">
      <c r="A71" s="35" t="s">
        <v>283</v>
      </c>
      <c r="B71" s="36">
        <f t="shared" ref="B71:B73" si="5">+D6*1000</f>
        <v>0</v>
      </c>
      <c r="C71" s="36">
        <f>+B71*B81%</f>
        <v>0</v>
      </c>
      <c r="D71" s="36">
        <f>+B71*B82%</f>
        <v>0</v>
      </c>
      <c r="E71" s="36">
        <f>+B71*B83%</f>
        <v>0</v>
      </c>
      <c r="F71" s="36">
        <f>+B71*B84%</f>
        <v>0</v>
      </c>
      <c r="G71" s="36">
        <f>+B71*B85%</f>
        <v>0</v>
      </c>
      <c r="H71" s="36">
        <f>+B71*B86%</f>
        <v>0</v>
      </c>
      <c r="I71" s="36">
        <f>+B71*B87%</f>
        <v>0</v>
      </c>
      <c r="J71" s="36">
        <f>+B71*B88%</f>
        <v>0</v>
      </c>
      <c r="K71" s="36">
        <f>+B71*B89%</f>
        <v>0</v>
      </c>
      <c r="L71" s="36">
        <f>+C71*B90%</f>
        <v>0</v>
      </c>
    </row>
    <row r="72" spans="1:18">
      <c r="A72" s="35" t="s">
        <v>81</v>
      </c>
      <c r="B72" s="36">
        <f t="shared" si="5"/>
        <v>350.88000000000011</v>
      </c>
      <c r="C72" s="36">
        <f>+B72*E81%</f>
        <v>70.17600000000003</v>
      </c>
      <c r="D72" s="36">
        <f>+B72*E82%</f>
        <v>49.474080000000008</v>
      </c>
      <c r="E72" s="36">
        <f>+B72*E83%</f>
        <v>10.947456000000004</v>
      </c>
      <c r="F72" s="36">
        <f>+B72*E84%</f>
        <v>21.052800000000005</v>
      </c>
      <c r="G72" s="36">
        <f>+B72*E85%</f>
        <v>78.246240000000029</v>
      </c>
      <c r="H72" s="36">
        <f>+B72*E86%</f>
        <v>3.4035360000000012</v>
      </c>
      <c r="I72" s="36">
        <f>+B72*E87%</f>
        <v>2.4912480000000006</v>
      </c>
      <c r="J72" s="36">
        <f>+B72*E88%</f>
        <v>38.245920000000012</v>
      </c>
      <c r="K72" s="36">
        <f>+B72*E89%</f>
        <v>0</v>
      </c>
      <c r="L72" s="36">
        <f>+C72*E90%</f>
        <v>0</v>
      </c>
    </row>
    <row r="73" spans="1:18">
      <c r="A73" s="35" t="s">
        <v>279</v>
      </c>
      <c r="B73" s="36">
        <f t="shared" si="5"/>
        <v>0</v>
      </c>
      <c r="C73" s="36">
        <f>+B73*F90%</f>
        <v>0</v>
      </c>
      <c r="D73" s="36">
        <f>+B73*F91%</f>
        <v>0</v>
      </c>
      <c r="E73" s="36">
        <f>+B73*F92%</f>
        <v>0</v>
      </c>
      <c r="F73" s="36">
        <f>+B73*F93%</f>
        <v>0</v>
      </c>
      <c r="G73" s="36">
        <f>+B73*F94%</f>
        <v>0</v>
      </c>
      <c r="H73" s="36">
        <f>+B73*F95%</f>
        <v>0</v>
      </c>
      <c r="I73" s="36">
        <f>+B73*F96%</f>
        <v>0</v>
      </c>
      <c r="J73" s="36">
        <f>+B73*F97%</f>
        <v>0</v>
      </c>
      <c r="K73" s="36">
        <f>+B73*F98%</f>
        <v>0</v>
      </c>
      <c r="L73" s="36">
        <f>+C73*G98%</f>
        <v>0</v>
      </c>
    </row>
    <row r="74" spans="1:18">
      <c r="A74" s="35" t="s">
        <v>83</v>
      </c>
      <c r="B74" s="36">
        <f>+D9*1000</f>
        <v>78.880000000000067</v>
      </c>
      <c r="C74" s="36">
        <f>+B74*D81%</f>
        <v>22.086400000000022</v>
      </c>
      <c r="D74" s="36">
        <f>+B74*D82%</f>
        <v>8.1009760000000064</v>
      </c>
      <c r="E74" s="36">
        <f>+B74*D83%</f>
        <v>1.5302720000000014</v>
      </c>
      <c r="F74" s="36">
        <f>+B74*D84%</f>
        <v>2.8160160000000021</v>
      </c>
      <c r="G74" s="36">
        <f>+B74*D85%</f>
        <v>9.6470240000000089</v>
      </c>
      <c r="H74" s="36">
        <f>+B74*D86%</f>
        <v>0.69414400000000065</v>
      </c>
      <c r="I74" s="36">
        <f>+B74*D87%</f>
        <v>0.3865120000000003</v>
      </c>
      <c r="J74" s="36">
        <f>+B74*D88%</f>
        <v>15.776000000000014</v>
      </c>
      <c r="K74" s="36">
        <f>+B74*D89%</f>
        <v>0</v>
      </c>
      <c r="L74" s="36">
        <f>+C74*D90%</f>
        <v>0</v>
      </c>
    </row>
    <row r="75" spans="1:18" ht="15.75">
      <c r="A75" s="92" t="s">
        <v>119</v>
      </c>
      <c r="B75" s="93">
        <f t="shared" ref="B75:L75" si="6">SUM(B67:B74)</f>
        <v>3185.4600000000005</v>
      </c>
      <c r="C75" s="93">
        <f t="shared" si="6"/>
        <v>863.8584000000003</v>
      </c>
      <c r="D75" s="93">
        <f t="shared" si="6"/>
        <v>245.60848600000003</v>
      </c>
      <c r="E75" s="93">
        <f t="shared" si="6"/>
        <v>65.938308000000006</v>
      </c>
      <c r="F75" s="93">
        <f t="shared" si="6"/>
        <v>122.24730600000001</v>
      </c>
      <c r="G75" s="93">
        <f>SUM(G67:G74)</f>
        <v>424.91537400000004</v>
      </c>
      <c r="H75" s="93">
        <f t="shared" si="6"/>
        <v>28.347840000000012</v>
      </c>
      <c r="I75" s="93">
        <f t="shared" si="6"/>
        <v>16.380690000000001</v>
      </c>
      <c r="J75" s="93">
        <f t="shared" si="6"/>
        <v>605.16192000000024</v>
      </c>
      <c r="K75" s="93">
        <f t="shared" si="6"/>
        <v>0</v>
      </c>
      <c r="L75" s="93">
        <f t="shared" si="6"/>
        <v>0</v>
      </c>
    </row>
    <row r="78" spans="1:18">
      <c r="A78" s="55" t="s">
        <v>99</v>
      </c>
      <c r="B78" s="56" t="s">
        <v>150</v>
      </c>
      <c r="C78" s="56" t="s">
        <v>151</v>
      </c>
      <c r="D78" s="56" t="s">
        <v>152</v>
      </c>
      <c r="E78" s="56" t="s">
        <v>153</v>
      </c>
      <c r="F78" s="56" t="s">
        <v>154</v>
      </c>
      <c r="H78" s="248" t="s">
        <v>144</v>
      </c>
      <c r="I78" s="248"/>
      <c r="J78" s="248"/>
      <c r="K78" s="248"/>
      <c r="M78" s="248" t="s">
        <v>145</v>
      </c>
      <c r="N78" s="248"/>
      <c r="O78" s="248"/>
      <c r="Q78" s="249" t="s">
        <v>148</v>
      </c>
      <c r="R78" s="249"/>
    </row>
    <row r="79" spans="1:18">
      <c r="A79" s="57" t="s">
        <v>118</v>
      </c>
      <c r="B79" s="57" t="s">
        <v>105</v>
      </c>
      <c r="C79" s="57" t="s">
        <v>104</v>
      </c>
      <c r="D79" s="57" t="s">
        <v>103</v>
      </c>
      <c r="E79" s="57" t="s">
        <v>155</v>
      </c>
      <c r="F79" s="57" t="s">
        <v>142</v>
      </c>
    </row>
    <row r="80" spans="1:18">
      <c r="A80" s="57"/>
      <c r="B80" s="57"/>
      <c r="C80" s="57"/>
      <c r="D80" s="57" t="s">
        <v>143</v>
      </c>
      <c r="E80" s="57"/>
      <c r="F80" s="57"/>
    </row>
    <row r="81" spans="1:15">
      <c r="A81" s="58" t="s">
        <v>149</v>
      </c>
      <c r="B81" s="98"/>
      <c r="C81" s="98">
        <v>28</v>
      </c>
      <c r="D81" s="98">
        <v>28</v>
      </c>
      <c r="E81" s="98">
        <v>20</v>
      </c>
      <c r="F81" s="98">
        <v>28</v>
      </c>
    </row>
    <row r="82" spans="1:15">
      <c r="A82" s="58" t="s">
        <v>29</v>
      </c>
      <c r="B82" s="98">
        <v>14.91</v>
      </c>
      <c r="C82" s="98">
        <v>10.27</v>
      </c>
      <c r="D82" s="98">
        <v>10.27</v>
      </c>
      <c r="E82" s="98">
        <v>14.1</v>
      </c>
      <c r="F82" s="98">
        <v>10.27</v>
      </c>
    </row>
    <row r="83" spans="1:15">
      <c r="A83" s="58" t="s">
        <v>30</v>
      </c>
      <c r="B83" s="98">
        <v>3.87</v>
      </c>
      <c r="C83" s="98">
        <v>1.94</v>
      </c>
      <c r="D83" s="98">
        <v>1.94</v>
      </c>
      <c r="E83" s="98">
        <v>3.12</v>
      </c>
      <c r="F83" s="98">
        <v>1.94</v>
      </c>
    </row>
    <row r="84" spans="1:15">
      <c r="A84" s="58" t="s">
        <v>33</v>
      </c>
      <c r="B84" s="98">
        <v>6.15</v>
      </c>
      <c r="C84" s="98">
        <v>3.57</v>
      </c>
      <c r="D84" s="98">
        <v>3.57</v>
      </c>
      <c r="E84" s="98">
        <v>6</v>
      </c>
      <c r="F84" s="98">
        <v>3.57</v>
      </c>
    </row>
    <row r="85" spans="1:15">
      <c r="A85" s="58" t="s">
        <v>31</v>
      </c>
      <c r="B85" s="98">
        <v>27.22</v>
      </c>
      <c r="C85" s="98">
        <v>12.23</v>
      </c>
      <c r="D85" s="98">
        <v>12.23</v>
      </c>
      <c r="E85" s="98">
        <v>22.3</v>
      </c>
      <c r="F85" s="98">
        <v>12.23</v>
      </c>
      <c r="K85" s="37"/>
      <c r="L85" s="39"/>
    </row>
    <row r="86" spans="1:15">
      <c r="A86" s="58" t="s">
        <v>34</v>
      </c>
      <c r="B86" s="98">
        <v>1.62</v>
      </c>
      <c r="C86" s="98">
        <v>0.88</v>
      </c>
      <c r="D86" s="98">
        <v>0.88</v>
      </c>
      <c r="E86" s="98">
        <v>0.97</v>
      </c>
      <c r="F86" s="98">
        <v>0.88</v>
      </c>
      <c r="K86" s="37"/>
      <c r="L86" s="39"/>
    </row>
    <row r="87" spans="1:15">
      <c r="A87" s="58" t="s">
        <v>102</v>
      </c>
      <c r="B87" s="98">
        <v>0.16</v>
      </c>
      <c r="C87" s="98">
        <v>0.49</v>
      </c>
      <c r="D87" s="98">
        <v>0.49</v>
      </c>
      <c r="E87" s="98">
        <v>0.71</v>
      </c>
      <c r="F87" s="98">
        <v>0.49</v>
      </c>
      <c r="K87" s="37"/>
      <c r="L87" s="39"/>
    </row>
    <row r="88" spans="1:15">
      <c r="A88" s="58" t="s">
        <v>35</v>
      </c>
      <c r="B88" s="98">
        <v>10.35</v>
      </c>
      <c r="C88" s="98">
        <v>20</v>
      </c>
      <c r="D88" s="98">
        <v>20</v>
      </c>
      <c r="E88" s="98">
        <v>10.9</v>
      </c>
      <c r="F88" s="98">
        <v>20</v>
      </c>
      <c r="K88" s="37"/>
      <c r="L88" s="39"/>
    </row>
    <row r="89" spans="1:15">
      <c r="A89" s="58" t="s">
        <v>100</v>
      </c>
      <c r="B89" s="98"/>
      <c r="C89" s="98"/>
      <c r="D89" s="98"/>
      <c r="E89" s="98"/>
      <c r="F89" s="98"/>
      <c r="K89" s="37"/>
      <c r="L89" s="39"/>
    </row>
    <row r="90" spans="1:15">
      <c r="A90" s="58" t="s">
        <v>101</v>
      </c>
      <c r="B90" s="98"/>
      <c r="C90" s="98"/>
      <c r="D90" s="98"/>
      <c r="E90" s="98"/>
      <c r="F90" s="98"/>
      <c r="H90" s="248" t="s">
        <v>146</v>
      </c>
      <c r="I90" s="248"/>
      <c r="J90" s="248"/>
      <c r="K90" s="248"/>
      <c r="M90" s="248" t="s">
        <v>147</v>
      </c>
      <c r="N90" s="248"/>
      <c r="O90" s="248"/>
    </row>
    <row r="91" spans="1:15">
      <c r="B91" s="32">
        <f>+B82/B85</f>
        <v>0.54775900073475392</v>
      </c>
      <c r="C91" s="32">
        <f>+C82/C85</f>
        <v>0.8397383483237939</v>
      </c>
      <c r="D91" s="32">
        <f>+D82/D85</f>
        <v>0.8397383483237939</v>
      </c>
      <c r="E91" s="32">
        <f>+E82/E85</f>
        <v>0.63228699551569501</v>
      </c>
      <c r="F91" s="32">
        <f>+F82/F85</f>
        <v>0.8397383483237939</v>
      </c>
      <c r="G91" s="36"/>
      <c r="H91" s="36"/>
      <c r="I91" s="36"/>
      <c r="J91" s="36"/>
    </row>
    <row r="93" spans="1:15">
      <c r="G93" s="37"/>
      <c r="H93" s="37"/>
      <c r="I93" s="37"/>
      <c r="J93" s="37"/>
    </row>
    <row r="94" spans="1:15">
      <c r="C94" s="32" t="s">
        <v>98</v>
      </c>
      <c r="E94" s="32">
        <v>34</v>
      </c>
      <c r="G94" s="37"/>
      <c r="H94" s="37"/>
      <c r="I94" s="37"/>
      <c r="J94" s="37"/>
    </row>
    <row r="95" spans="1:15">
      <c r="A95" s="35" t="s">
        <v>87</v>
      </c>
      <c r="B95" s="32">
        <f>36*0.19</f>
        <v>6.84</v>
      </c>
      <c r="C95" s="37">
        <f>+D95/$D$105</f>
        <v>0.17</v>
      </c>
      <c r="D95" s="32">
        <f>+PPC!B2</f>
        <v>5.95</v>
      </c>
      <c r="E95" s="32">
        <f>+$E$94*D95%</f>
        <v>2.0230000000000001</v>
      </c>
      <c r="G95" s="37"/>
      <c r="H95" s="37"/>
      <c r="I95" s="37"/>
      <c r="J95" s="37"/>
    </row>
    <row r="96" spans="1:15">
      <c r="A96" s="35" t="s">
        <v>88</v>
      </c>
      <c r="B96" s="32">
        <f>36*0.058</f>
        <v>2.0880000000000001</v>
      </c>
      <c r="C96" s="37">
        <f t="shared" ref="C96:C104" si="7">+D96/$D$105</f>
        <v>5.800000000000001E-2</v>
      </c>
      <c r="D96" s="32">
        <f>+PPC!B9</f>
        <v>2.0300000000000002</v>
      </c>
      <c r="E96" s="32">
        <f t="shared" ref="E96:E104" si="8">+$E$94*D96%</f>
        <v>0.69020000000000004</v>
      </c>
      <c r="G96" s="37"/>
      <c r="H96" s="37"/>
      <c r="I96" s="37"/>
      <c r="J96" s="37"/>
    </row>
    <row r="97" spans="1:10">
      <c r="A97" s="35" t="s">
        <v>89</v>
      </c>
      <c r="B97" s="32">
        <f>36*0.074</f>
        <v>2.6639999999999997</v>
      </c>
      <c r="C97" s="37">
        <f t="shared" si="7"/>
        <v>0</v>
      </c>
      <c r="D97" s="32">
        <f>+PPC!B5</f>
        <v>0</v>
      </c>
      <c r="E97" s="32">
        <f t="shared" si="8"/>
        <v>0</v>
      </c>
      <c r="G97" s="37"/>
      <c r="H97" s="37"/>
      <c r="I97" s="37"/>
      <c r="J97" s="37"/>
    </row>
    <row r="98" spans="1:10">
      <c r="A98" s="35" t="s">
        <v>90</v>
      </c>
      <c r="B98" s="32">
        <f>36*0.39</f>
        <v>14.040000000000001</v>
      </c>
      <c r="C98" s="37">
        <f t="shared" si="7"/>
        <v>0.42699999999999999</v>
      </c>
      <c r="D98" s="32">
        <f>+PPC!B4</f>
        <v>14.945</v>
      </c>
      <c r="E98" s="32">
        <f>+$E$94*D98%</f>
        <v>5.0812999999999997</v>
      </c>
      <c r="G98" s="37"/>
      <c r="H98" s="37"/>
      <c r="I98" s="37"/>
      <c r="J98" s="37"/>
    </row>
    <row r="99" spans="1:10">
      <c r="A99" s="35" t="s">
        <v>91</v>
      </c>
      <c r="B99" s="32">
        <f>36*0.2</f>
        <v>7.2</v>
      </c>
      <c r="C99" s="37">
        <f t="shared" si="7"/>
        <v>0.25800000000000001</v>
      </c>
      <c r="D99" s="32">
        <f>+PPC!B7</f>
        <v>9.0300000000000011</v>
      </c>
      <c r="E99" s="32">
        <f t="shared" si="8"/>
        <v>3.0702000000000003</v>
      </c>
      <c r="G99" s="37"/>
      <c r="H99" s="37"/>
      <c r="I99" s="37"/>
      <c r="J99" s="37"/>
    </row>
    <row r="100" spans="1:10">
      <c r="A100" s="35" t="s">
        <v>92</v>
      </c>
      <c r="B100" s="32">
        <f>36*0.07</f>
        <v>2.5200000000000005</v>
      </c>
      <c r="C100" s="37">
        <f t="shared" si="7"/>
        <v>8.6999999999999994E-2</v>
      </c>
      <c r="D100" s="32">
        <f>+PPC!B3</f>
        <v>3.0449999999999999</v>
      </c>
      <c r="E100" s="32">
        <f t="shared" si="8"/>
        <v>1.0352999999999999</v>
      </c>
      <c r="G100" s="37"/>
      <c r="H100" s="37"/>
      <c r="I100" s="37"/>
      <c r="J100" s="37"/>
    </row>
    <row r="101" spans="1:10">
      <c r="A101" s="35" t="s">
        <v>93</v>
      </c>
      <c r="B101" s="32">
        <v>0</v>
      </c>
      <c r="C101" s="37">
        <f t="shared" si="7"/>
        <v>0</v>
      </c>
      <c r="D101" s="32">
        <f>+PPC!B8</f>
        <v>0</v>
      </c>
      <c r="E101" s="32">
        <f t="shared" si="8"/>
        <v>0</v>
      </c>
      <c r="G101" s="37"/>
      <c r="H101" s="37"/>
      <c r="I101" s="37"/>
      <c r="J101" s="37"/>
    </row>
    <row r="102" spans="1:10">
      <c r="A102" s="35" t="s">
        <v>95</v>
      </c>
      <c r="B102" s="32">
        <f>36*0.013</f>
        <v>0.46799999999999997</v>
      </c>
      <c r="C102" s="37">
        <f t="shared" si="7"/>
        <v>0</v>
      </c>
      <c r="D102" s="32">
        <f>+PPC!B6</f>
        <v>0</v>
      </c>
      <c r="E102" s="32">
        <f>+$E$94*D102%</f>
        <v>0</v>
      </c>
    </row>
    <row r="103" spans="1:10">
      <c r="A103" s="35" t="s">
        <v>96</v>
      </c>
      <c r="B103" s="32">
        <v>0</v>
      </c>
      <c r="C103" s="37">
        <f t="shared" si="7"/>
        <v>0</v>
      </c>
      <c r="E103" s="32">
        <f t="shared" si="8"/>
        <v>0</v>
      </c>
    </row>
    <row r="104" spans="1:10">
      <c r="A104" s="35" t="s">
        <v>97</v>
      </c>
      <c r="B104" s="32">
        <f>36*0.003</f>
        <v>0.108</v>
      </c>
      <c r="C104" s="37">
        <f t="shared" si="7"/>
        <v>0</v>
      </c>
      <c r="E104" s="32">
        <f t="shared" si="8"/>
        <v>0</v>
      </c>
    </row>
    <row r="105" spans="1:10">
      <c r="A105" s="35" t="s">
        <v>94</v>
      </c>
      <c r="B105" s="32">
        <f>SUM(B95:B104)</f>
        <v>35.928000000000004</v>
      </c>
      <c r="D105" s="32">
        <f>SUM(D95:D104)</f>
        <v>35</v>
      </c>
    </row>
    <row r="109" spans="1:10">
      <c r="C109" s="32" t="s">
        <v>157</v>
      </c>
      <c r="D109" s="32">
        <v>3222.42</v>
      </c>
      <c r="E109" s="32">
        <f>+D109/$D$112*$E$112</f>
        <v>3.3676187607330314E-2</v>
      </c>
    </row>
    <row r="110" spans="1:10">
      <c r="C110" s="32" t="s">
        <v>158</v>
      </c>
      <c r="D110" s="32">
        <v>26770.382000000001</v>
      </c>
      <c r="E110" s="32">
        <f>+D110/$D$112*$E$112</f>
        <v>0.27976626465572418</v>
      </c>
    </row>
    <row r="111" spans="1:10">
      <c r="C111" s="32" t="s">
        <v>159</v>
      </c>
      <c r="D111" s="32">
        <v>1584.365</v>
      </c>
      <c r="E111" s="32">
        <f>+D111/$D$112*$E$112</f>
        <v>1.6557547736945493E-2</v>
      </c>
    </row>
    <row r="112" spans="1:10">
      <c r="D112" s="32">
        <f>SUM(D109:D111)</f>
        <v>31577.167000000005</v>
      </c>
      <c r="E112" s="32">
        <v>0.33</v>
      </c>
    </row>
  </sheetData>
  <mergeCells count="8">
    <mergeCell ref="N1:O1"/>
    <mergeCell ref="H78:K78"/>
    <mergeCell ref="M78:O78"/>
    <mergeCell ref="H90:K90"/>
    <mergeCell ref="M90:O90"/>
    <mergeCell ref="Q78:R78"/>
    <mergeCell ref="D22:D23"/>
    <mergeCell ref="D27:D28"/>
  </mergeCells>
  <pageMargins left="0.7" right="0.7" top="0.75" bottom="0.75" header="0.3" footer="0.3"/>
  <pageSetup paperSize="9" orientation="portrait" horizontalDpi="300" verticalDpi="300" r:id="rId1"/>
  <ignoredErrors>
    <ignoredError sqref="C14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8"/>
  <sheetViews>
    <sheetView zoomScale="85" zoomScaleNormal="85" workbookViewId="0">
      <selection activeCell="E2" sqref="E2"/>
    </sheetView>
  </sheetViews>
  <sheetFormatPr baseColWidth="10" defaultRowHeight="15"/>
  <cols>
    <col min="2" max="2" width="8.28515625" customWidth="1"/>
    <col min="5" max="5" width="18.85546875" customWidth="1"/>
    <col min="9" max="9" width="12.140625" customWidth="1"/>
    <col min="10" max="10" width="18.42578125" customWidth="1"/>
  </cols>
  <sheetData>
    <row r="2" spans="1:15">
      <c r="A2" t="s">
        <v>172</v>
      </c>
      <c r="D2" t="s">
        <v>167</v>
      </c>
      <c r="E2" s="100" t="e">
        <f>+'Horno Eléctrico'!S13*0.1</f>
        <v>#NAME?</v>
      </c>
      <c r="F2" t="s">
        <v>52</v>
      </c>
      <c r="H2" t="s">
        <v>169</v>
      </c>
      <c r="I2" s="101">
        <f>(G11+G16+G21+G26)*1.4284</f>
        <v>136.20412121212121</v>
      </c>
      <c r="J2" t="e">
        <f>(E2-I2)*1000</f>
        <v>#NAME?</v>
      </c>
      <c r="K2" s="33" t="s">
        <v>177</v>
      </c>
      <c r="L2" s="34">
        <f>+B18+I15+I20+I25</f>
        <v>400.11745454545451</v>
      </c>
      <c r="M2" s="252" t="s">
        <v>42</v>
      </c>
      <c r="N2" s="253"/>
      <c r="O2" s="64" t="s">
        <v>39</v>
      </c>
    </row>
    <row r="3" spans="1:15" ht="16.5">
      <c r="A3" t="s">
        <v>163</v>
      </c>
      <c r="B3">
        <v>280</v>
      </c>
      <c r="C3" t="s">
        <v>168</v>
      </c>
      <c r="H3" t="s">
        <v>52</v>
      </c>
      <c r="I3" t="e">
        <f>+J2/'Horno Eléctrico'!R2</f>
        <v>#NAME?</v>
      </c>
      <c r="K3" s="32" t="s">
        <v>29</v>
      </c>
      <c r="L3" s="40">
        <f>+B19+B13*0.8+B7*0.8</f>
        <v>154.48169982465271</v>
      </c>
      <c r="M3" s="60" t="s">
        <v>29</v>
      </c>
      <c r="N3" s="97">
        <f t="shared" ref="N3:N10" si="0">+L3/$L$2</f>
        <v>0.38609087923981866</v>
      </c>
      <c r="O3" s="94">
        <f>+L3/L4</f>
        <v>1.2009013716385697</v>
      </c>
    </row>
    <row r="4" spans="1:15">
      <c r="A4" t="s">
        <v>164</v>
      </c>
      <c r="B4">
        <v>0</v>
      </c>
      <c r="C4" t="s">
        <v>168</v>
      </c>
      <c r="E4" s="10"/>
      <c r="F4" s="101"/>
      <c r="K4" s="32" t="s">
        <v>31</v>
      </c>
      <c r="L4" s="40">
        <f>+B20+I20+B6*0.41</f>
        <v>128.63812422319927</v>
      </c>
      <c r="M4" s="60" t="s">
        <v>31</v>
      </c>
      <c r="N4" s="97">
        <f t="shared" si="0"/>
        <v>0.32150090620099553</v>
      </c>
      <c r="O4" s="32"/>
    </row>
    <row r="5" spans="1:15">
      <c r="A5" t="s">
        <v>165</v>
      </c>
      <c r="B5">
        <v>100</v>
      </c>
      <c r="C5" t="s">
        <v>168</v>
      </c>
      <c r="E5" s="1"/>
      <c r="F5" s="101"/>
      <c r="K5" s="32" t="s">
        <v>33</v>
      </c>
      <c r="L5" s="40">
        <f>+B21</f>
        <v>15.53908508868799</v>
      </c>
      <c r="M5" s="60" t="s">
        <v>33</v>
      </c>
      <c r="N5" s="97">
        <f t="shared" si="0"/>
        <v>3.8836308969177211E-2</v>
      </c>
      <c r="O5" s="95" t="s">
        <v>120</v>
      </c>
    </row>
    <row r="6" spans="1:15" ht="16.5">
      <c r="A6" t="s">
        <v>171</v>
      </c>
      <c r="B6">
        <v>80</v>
      </c>
      <c r="C6" t="s">
        <v>168</v>
      </c>
      <c r="K6" s="32" t="s">
        <v>30</v>
      </c>
      <c r="L6" s="40">
        <f>+B22+B6*0.45</f>
        <v>57.61127871463875</v>
      </c>
      <c r="M6" s="60" t="s">
        <v>30</v>
      </c>
      <c r="N6" s="97">
        <f t="shared" si="0"/>
        <v>0.14398591728543034</v>
      </c>
      <c r="O6" s="96">
        <f>1348.181674+3.99660706*N3+37.2199612*N6-1.19891958*N7-6.37252956*N5-2.62999577*N8-7.33636128*N4+2.000343166*N9</f>
        <v>1352.1639584851009</v>
      </c>
    </row>
    <row r="7" spans="1:15" ht="15.75" thickBot="1">
      <c r="A7" t="s">
        <v>170</v>
      </c>
      <c r="B7">
        <v>100</v>
      </c>
      <c r="C7" t="s">
        <v>168</v>
      </c>
      <c r="K7" s="32" t="s">
        <v>34</v>
      </c>
      <c r="L7" s="40">
        <f>+B23+I15</f>
        <v>41.821388972992828</v>
      </c>
      <c r="M7" s="60" t="s">
        <v>34</v>
      </c>
      <c r="N7" s="97">
        <f t="shared" si="0"/>
        <v>0.10452278074322748</v>
      </c>
      <c r="O7" s="32"/>
    </row>
    <row r="8" spans="1:15">
      <c r="D8" s="250" t="s">
        <v>50</v>
      </c>
      <c r="E8" s="69">
        <v>12</v>
      </c>
      <c r="F8" s="69"/>
      <c r="G8" s="69">
        <v>16</v>
      </c>
      <c r="H8" s="69"/>
      <c r="I8" s="70">
        <f>+E8+G8</f>
        <v>28</v>
      </c>
      <c r="K8" s="32" t="s">
        <v>35</v>
      </c>
      <c r="L8" s="40">
        <f>+I25</f>
        <v>30</v>
      </c>
      <c r="M8" s="60" t="s">
        <v>35</v>
      </c>
      <c r="N8" s="97">
        <f t="shared" si="0"/>
        <v>7.4977983737502543E-2</v>
      </c>
      <c r="O8" s="95" t="s">
        <v>62</v>
      </c>
    </row>
    <row r="9" spans="1:15" ht="16.5">
      <c r="A9" t="s">
        <v>173</v>
      </c>
      <c r="D9" s="251"/>
      <c r="E9" s="71" t="s">
        <v>139</v>
      </c>
      <c r="F9" s="87" t="s">
        <v>125</v>
      </c>
      <c r="G9" s="71" t="s">
        <v>75</v>
      </c>
      <c r="H9" s="87" t="s">
        <v>126</v>
      </c>
      <c r="I9" s="72" t="s">
        <v>140</v>
      </c>
      <c r="K9" s="32" t="s">
        <v>102</v>
      </c>
      <c r="L9" s="40">
        <f>+B25</f>
        <v>1.7440551506203601</v>
      </c>
      <c r="M9" s="60" t="s">
        <v>102</v>
      </c>
      <c r="N9" s="97">
        <f t="shared" si="0"/>
        <v>4.3588579573506968E-3</v>
      </c>
      <c r="O9" s="94">
        <f>+N3/(N4+N5)</f>
        <v>1.0714710082262346</v>
      </c>
    </row>
    <row r="10" spans="1:15">
      <c r="A10" t="s">
        <v>163</v>
      </c>
      <c r="B10">
        <v>30</v>
      </c>
      <c r="D10" s="82"/>
      <c r="E10" s="74">
        <f>+B5*0.83*0.9</f>
        <v>74.7</v>
      </c>
      <c r="F10" s="71"/>
      <c r="G10" s="74">
        <f>+E10*G8/E8</f>
        <v>99.600000000000009</v>
      </c>
      <c r="H10" s="71"/>
      <c r="I10" s="75"/>
      <c r="K10" s="32" t="s">
        <v>174</v>
      </c>
      <c r="L10" s="40">
        <f>+B14</f>
        <v>20</v>
      </c>
      <c r="M10" s="60" t="s">
        <v>38</v>
      </c>
      <c r="N10" s="97">
        <f t="shared" si="0"/>
        <v>4.9985322491668358E-2</v>
      </c>
      <c r="O10" s="32"/>
    </row>
    <row r="11" spans="1:15" ht="15.75" thickBot="1">
      <c r="A11" t="s">
        <v>164</v>
      </c>
      <c r="B11">
        <v>20</v>
      </c>
      <c r="D11" s="76"/>
      <c r="E11" s="77"/>
      <c r="F11" s="77"/>
      <c r="G11" s="78">
        <f>+G10/1.4284</f>
        <v>69.728367404088502</v>
      </c>
      <c r="H11" s="77"/>
      <c r="I11" s="79"/>
      <c r="K11" s="32"/>
      <c r="L11" s="40">
        <f>SUM(L3:L10)</f>
        <v>449.83563197479191</v>
      </c>
      <c r="M11" s="32"/>
      <c r="N11" s="32"/>
      <c r="O11" s="32"/>
    </row>
    <row r="12" spans="1:15" ht="15.75" thickBot="1">
      <c r="A12" t="s">
        <v>165</v>
      </c>
      <c r="B12">
        <v>120</v>
      </c>
      <c r="K12" s="32"/>
      <c r="L12" s="32"/>
      <c r="M12" s="32"/>
      <c r="N12" s="32"/>
      <c r="O12" s="32"/>
    </row>
    <row r="13" spans="1:15">
      <c r="A13" t="s">
        <v>170</v>
      </c>
      <c r="B13">
        <v>0</v>
      </c>
      <c r="D13" s="80"/>
      <c r="E13" s="69">
        <v>55</v>
      </c>
      <c r="F13" s="69"/>
      <c r="G13" s="69">
        <v>16</v>
      </c>
      <c r="H13" s="69"/>
      <c r="I13" s="70">
        <v>71</v>
      </c>
      <c r="K13" s="32"/>
      <c r="L13" s="35" t="s">
        <v>53</v>
      </c>
      <c r="M13" s="37">
        <f>2.19063*10^-4*O3^6-5.15999*10^-3*O3^5+4.94488*10^-2*O3^4-2.47772*10^-1*O3^3+6.92834*10^-1*O3^2-1.05363*O3+7.70403*10^-1</f>
        <v>0.16577659627771901</v>
      </c>
      <c r="N13" s="37"/>
      <c r="O13" s="32"/>
    </row>
    <row r="14" spans="1:15">
      <c r="A14" t="s">
        <v>174</v>
      </c>
      <c r="B14">
        <v>20</v>
      </c>
      <c r="D14" s="82" t="s">
        <v>130</v>
      </c>
      <c r="E14" s="71" t="s">
        <v>74</v>
      </c>
      <c r="F14" s="87" t="s">
        <v>125</v>
      </c>
      <c r="G14" s="71" t="s">
        <v>75</v>
      </c>
      <c r="H14" s="87" t="s">
        <v>126</v>
      </c>
      <c r="I14" s="72" t="s">
        <v>34</v>
      </c>
    </row>
    <row r="15" spans="1:15">
      <c r="A15" t="s">
        <v>215</v>
      </c>
      <c r="B15">
        <v>20</v>
      </c>
      <c r="D15" s="82"/>
      <c r="E15" s="102">
        <f>+B3*0.67*0.1</f>
        <v>18.760000000000002</v>
      </c>
      <c r="F15" s="71"/>
      <c r="G15" s="74">
        <f>+E15/E13*G13</f>
        <v>5.4574545454545458</v>
      </c>
      <c r="H15" s="71"/>
      <c r="I15" s="75">
        <f>+G15/G13*I13</f>
        <v>24.217454545454547</v>
      </c>
      <c r="K15" s="33" t="s">
        <v>178</v>
      </c>
      <c r="L15" s="34">
        <f>SUM(L16:L23)</f>
        <v>369.77118495118418</v>
      </c>
      <c r="M15" s="252" t="s">
        <v>42</v>
      </c>
      <c r="N15" s="253"/>
      <c r="O15" s="64" t="s">
        <v>39</v>
      </c>
    </row>
    <row r="16" spans="1:15" ht="17.25" thickBot="1">
      <c r="D16" s="76"/>
      <c r="E16" s="77"/>
      <c r="F16" s="77"/>
      <c r="G16" s="78">
        <f>+G15/1.4284</f>
        <v>3.8206766630177444</v>
      </c>
      <c r="H16" s="77"/>
      <c r="I16" s="79"/>
      <c r="K16" s="32" t="s">
        <v>29</v>
      </c>
      <c r="L16" s="40">
        <f>+H40+B7*0.8+B19</f>
        <v>164.98169982465271</v>
      </c>
      <c r="M16" s="60" t="s">
        <v>29</v>
      </c>
      <c r="N16" s="97">
        <f>+L16/$L$2</f>
        <v>0.41233317354794458</v>
      </c>
      <c r="O16" s="94">
        <f>+L16/L17</f>
        <v>1.2825256961800369</v>
      </c>
    </row>
    <row r="17" spans="1:15" ht="15.75" thickBot="1">
      <c r="D17" s="71"/>
      <c r="E17" s="71"/>
      <c r="F17" s="71"/>
      <c r="G17" s="91"/>
      <c r="H17" s="71"/>
      <c r="I17" s="71"/>
      <c r="K17" s="32" t="s">
        <v>31</v>
      </c>
      <c r="L17" s="40">
        <f>+B6*0.41+I20+B20</f>
        <v>128.63812422319927</v>
      </c>
      <c r="M17" s="60" t="s">
        <v>31</v>
      </c>
      <c r="N17" s="97">
        <f t="shared" ref="N17:N22" si="1">+L17/$L$2</f>
        <v>0.32150090620099553</v>
      </c>
      <c r="O17" s="32"/>
    </row>
    <row r="18" spans="1:15">
      <c r="A18" t="s">
        <v>32</v>
      </c>
      <c r="B18">
        <v>300</v>
      </c>
      <c r="D18" s="80"/>
      <c r="E18" s="69">
        <v>28</v>
      </c>
      <c r="F18" s="69"/>
      <c r="G18" s="69">
        <v>32</v>
      </c>
      <c r="H18" s="69"/>
      <c r="I18" s="70">
        <f>+E18+G18</f>
        <v>60</v>
      </c>
      <c r="K18" s="32" t="s">
        <v>33</v>
      </c>
      <c r="L18" s="40">
        <f>+B21</f>
        <v>15.53908508868799</v>
      </c>
      <c r="M18" s="60" t="s">
        <v>33</v>
      </c>
      <c r="N18" s="97">
        <f t="shared" si="1"/>
        <v>3.8836308969177211E-2</v>
      </c>
      <c r="O18" s="95" t="s">
        <v>120</v>
      </c>
    </row>
    <row r="19" spans="1:15" ht="16.5">
      <c r="A19" s="32" t="s">
        <v>29</v>
      </c>
      <c r="B19" s="101">
        <f>+$B$18*'Horno Eléctrico'!O2</f>
        <v>74.481699824652694</v>
      </c>
      <c r="D19" s="82" t="s">
        <v>135</v>
      </c>
      <c r="E19" s="71" t="s">
        <v>136</v>
      </c>
      <c r="F19" s="87" t="s">
        <v>125</v>
      </c>
      <c r="G19" s="71" t="s">
        <v>132</v>
      </c>
      <c r="H19" s="87" t="s">
        <v>126</v>
      </c>
      <c r="I19" s="72" t="s">
        <v>31</v>
      </c>
      <c r="K19" s="32" t="s">
        <v>30</v>
      </c>
      <c r="L19" s="40">
        <f>+B22+B6*0.45</f>
        <v>57.61127871463875</v>
      </c>
      <c r="M19" s="60" t="s">
        <v>30</v>
      </c>
      <c r="N19" s="97">
        <f t="shared" si="1"/>
        <v>0.14398591728543034</v>
      </c>
      <c r="O19" s="96">
        <f>1348.181674+3.99660706*N16+37.2199612*N19-1.19891958*N20-6.37252956*N18-2.62999577*N21-7.33636128*N17+2.000343166*N22</f>
        <v>1352.567387270419</v>
      </c>
    </row>
    <row r="20" spans="1:15">
      <c r="A20" s="32" t="s">
        <v>31</v>
      </c>
      <c r="B20" s="101">
        <f>+$B$18*'Horno Eléctrico'!O3</f>
        <v>49.938124223199267</v>
      </c>
      <c r="D20" s="82"/>
      <c r="E20" s="74">
        <f>(B3*0.18+B4*0.75)*0.5</f>
        <v>25.2</v>
      </c>
      <c r="F20" s="71"/>
      <c r="G20" s="74">
        <f>+E20*0.85/E18*G18</f>
        <v>24.479999999999997</v>
      </c>
      <c r="H20" s="71"/>
      <c r="I20" s="75">
        <f>+G20/G18*I18</f>
        <v>45.899999999999991</v>
      </c>
      <c r="K20" s="32" t="s">
        <v>34</v>
      </c>
      <c r="L20" s="40">
        <f>+I30*(1-0.97)</f>
        <v>1.2546416691897859</v>
      </c>
      <c r="M20" s="60" t="s">
        <v>34</v>
      </c>
      <c r="N20" s="97">
        <f t="shared" si="1"/>
        <v>3.1356834222968271E-3</v>
      </c>
      <c r="O20" s="32"/>
    </row>
    <row r="21" spans="1:15" ht="15.75" thickBot="1">
      <c r="A21" s="32" t="s">
        <v>33</v>
      </c>
      <c r="B21" s="101">
        <f>+$B$18*'Horno Eléctrico'!O4</f>
        <v>15.53908508868799</v>
      </c>
      <c r="D21" s="76"/>
      <c r="E21" s="77"/>
      <c r="F21" s="77"/>
      <c r="G21" s="78">
        <f>+G20/1.4284</f>
        <v>17.138056566788013</v>
      </c>
      <c r="H21" s="77"/>
      <c r="I21" s="79"/>
      <c r="K21" s="32" t="s">
        <v>35</v>
      </c>
      <c r="L21" s="40">
        <f>+B24-I35</f>
        <v>1.7463554308156972</v>
      </c>
      <c r="M21" s="60" t="s">
        <v>35</v>
      </c>
      <c r="N21" s="59">
        <f t="shared" si="1"/>
        <v>4.3646069697199528E-3</v>
      </c>
      <c r="O21" s="95" t="s">
        <v>62</v>
      </c>
    </row>
    <row r="22" spans="1:15" ht="17.25" thickBot="1">
      <c r="A22" s="32" t="s">
        <v>30</v>
      </c>
      <c r="B22" s="101">
        <f>+$B$18*'Horno Eléctrico'!O5</f>
        <v>21.61127871463875</v>
      </c>
      <c r="K22" s="32" t="s">
        <v>102</v>
      </c>
      <c r="L22" s="40">
        <f>+B38</f>
        <v>0</v>
      </c>
      <c r="M22" s="60" t="s">
        <v>102</v>
      </c>
      <c r="N22" s="97">
        <f t="shared" si="1"/>
        <v>0</v>
      </c>
      <c r="O22" s="94">
        <f>+N16/(N17+N18)</f>
        <v>1.1442980524596003</v>
      </c>
    </row>
    <row r="23" spans="1:15">
      <c r="A23" s="32" t="s">
        <v>34</v>
      </c>
      <c r="B23" s="101">
        <f>+$B$18*'Horno Eléctrico'!O6</f>
        <v>17.603934427538281</v>
      </c>
      <c r="D23" s="80"/>
      <c r="E23" s="69">
        <v>56</v>
      </c>
      <c r="F23" s="69"/>
      <c r="G23" s="69">
        <v>16</v>
      </c>
      <c r="H23" s="69"/>
      <c r="I23" s="70">
        <f>+E23+G23</f>
        <v>72</v>
      </c>
      <c r="K23" s="32" t="s">
        <v>174</v>
      </c>
      <c r="L23" s="40">
        <f>+B27</f>
        <v>0</v>
      </c>
      <c r="M23" s="60" t="s">
        <v>38</v>
      </c>
      <c r="N23" s="97">
        <f>+L23/$L$2</f>
        <v>0</v>
      </c>
      <c r="O23" s="32"/>
    </row>
    <row r="24" spans="1:15">
      <c r="A24" s="32" t="s">
        <v>35</v>
      </c>
      <c r="B24" s="101">
        <f>+$B$18*'Horno Eléctrico'!O7</f>
        <v>88.326355430815696</v>
      </c>
      <c r="D24" s="81" t="s">
        <v>124</v>
      </c>
      <c r="E24" s="71" t="s">
        <v>138</v>
      </c>
      <c r="F24" s="87" t="s">
        <v>125</v>
      </c>
      <c r="G24" s="71" t="s">
        <v>75</v>
      </c>
      <c r="H24" s="87" t="s">
        <v>126</v>
      </c>
      <c r="I24" s="72" t="s">
        <v>35</v>
      </c>
    </row>
    <row r="25" spans="1:15">
      <c r="A25" s="32" t="s">
        <v>102</v>
      </c>
      <c r="B25" s="101">
        <f>+$B$18*'Horno Eléctrico'!O8</f>
        <v>1.7440551506203601</v>
      </c>
      <c r="D25" s="82"/>
      <c r="E25" s="74">
        <f>+I25*E23/I23</f>
        <v>23.333333333333332</v>
      </c>
      <c r="F25" s="71"/>
      <c r="G25" s="74">
        <f>+I25*G23/I23</f>
        <v>6.666666666666667</v>
      </c>
      <c r="H25" s="71"/>
      <c r="I25" s="86">
        <v>30</v>
      </c>
    </row>
    <row r="26" spans="1:15" ht="15.75" thickBot="1">
      <c r="A26" s="32" t="s">
        <v>38</v>
      </c>
      <c r="B26" s="101">
        <f>+$B$18*'Horno Eléctrico'!O9</f>
        <v>30.755467139846967</v>
      </c>
      <c r="D26" s="76"/>
      <c r="E26" s="83"/>
      <c r="F26" s="83"/>
      <c r="G26" s="78">
        <f>+G25/1.4284</f>
        <v>4.667226733874732</v>
      </c>
      <c r="H26" s="77"/>
      <c r="I26" s="84"/>
    </row>
    <row r="27" spans="1:15" ht="15.75" thickBot="1"/>
    <row r="28" spans="1:15">
      <c r="D28" s="80"/>
      <c r="E28" s="69">
        <v>55</v>
      </c>
      <c r="F28" s="69"/>
      <c r="G28" s="69">
        <v>16</v>
      </c>
      <c r="H28" s="69"/>
      <c r="I28" s="70">
        <v>71</v>
      </c>
    </row>
    <row r="29" spans="1:15">
      <c r="D29" s="82" t="s">
        <v>175</v>
      </c>
      <c r="E29" s="71" t="s">
        <v>74</v>
      </c>
      <c r="F29" s="87" t="s">
        <v>125</v>
      </c>
      <c r="G29" s="71" t="s">
        <v>75</v>
      </c>
      <c r="H29" s="87" t="s">
        <v>126</v>
      </c>
      <c r="I29" s="72" t="s">
        <v>34</v>
      </c>
    </row>
    <row r="30" spans="1:15">
      <c r="D30" s="82"/>
      <c r="E30" s="102">
        <f>+I30/I28*E28</f>
        <v>32.396850612881764</v>
      </c>
      <c r="F30" s="71"/>
      <c r="G30" s="74">
        <f>+E30/E28*G28</f>
        <v>9.4245383601110593</v>
      </c>
      <c r="H30" s="71"/>
      <c r="I30" s="75">
        <f>+L7</f>
        <v>41.821388972992828</v>
      </c>
    </row>
    <row r="31" spans="1:15" ht="15.75" thickBot="1">
      <c r="D31" s="76"/>
      <c r="E31" s="77"/>
      <c r="F31" s="77"/>
      <c r="G31" s="78">
        <f>+G30/1.4284</f>
        <v>6.5979686083107394</v>
      </c>
      <c r="H31" s="77"/>
      <c r="I31" s="79"/>
    </row>
    <row r="32" spans="1:15" ht="15.75" thickBot="1"/>
    <row r="33" spans="4:12">
      <c r="D33" s="80"/>
      <c r="E33" s="69">
        <v>56</v>
      </c>
      <c r="F33" s="69"/>
      <c r="G33" s="69">
        <v>16</v>
      </c>
      <c r="H33" s="69"/>
      <c r="I33" s="70">
        <f>+E33+G33</f>
        <v>72</v>
      </c>
    </row>
    <row r="34" spans="4:12">
      <c r="D34" s="81" t="s">
        <v>176</v>
      </c>
      <c r="E34" s="71" t="s">
        <v>138</v>
      </c>
      <c r="F34" s="87" t="s">
        <v>125</v>
      </c>
      <c r="G34" s="71" t="s">
        <v>75</v>
      </c>
      <c r="H34" s="87" t="s">
        <v>126</v>
      </c>
      <c r="I34" s="72" t="s">
        <v>35</v>
      </c>
    </row>
    <row r="35" spans="4:12">
      <c r="D35" s="82"/>
      <c r="E35" s="74">
        <f>+I35/I33*E33</f>
        <v>67.339999999999989</v>
      </c>
      <c r="F35" s="71"/>
      <c r="G35" s="74">
        <f>+I35*G33/I33</f>
        <v>19.239999999999998</v>
      </c>
      <c r="H35" s="71"/>
      <c r="I35" s="86">
        <f>+F40+F44</f>
        <v>86.58</v>
      </c>
    </row>
    <row r="36" spans="4:12" ht="15.75" thickBot="1">
      <c r="D36" s="76"/>
      <c r="E36" s="83"/>
      <c r="F36" s="83"/>
      <c r="G36" s="78">
        <f>+G35/1.4284</f>
        <v>13.469616353962476</v>
      </c>
      <c r="H36" s="77"/>
      <c r="I36" s="84"/>
    </row>
    <row r="37" spans="4:12">
      <c r="D37" s="1"/>
      <c r="E37" s="1"/>
      <c r="F37" s="1"/>
      <c r="G37" s="1"/>
      <c r="H37" s="1"/>
      <c r="I37" s="1"/>
      <c r="J37" s="1"/>
      <c r="K37" s="1"/>
      <c r="L37" s="1"/>
    </row>
    <row r="38" spans="4:12">
      <c r="D38" s="1">
        <v>64</v>
      </c>
      <c r="E38" s="1"/>
      <c r="F38" s="1">
        <f>3*72</f>
        <v>216</v>
      </c>
      <c r="G38" s="1"/>
      <c r="H38" s="1">
        <v>56</v>
      </c>
      <c r="I38" s="1"/>
      <c r="J38" s="1">
        <f>2*28</f>
        <v>56</v>
      </c>
      <c r="K38" s="1"/>
      <c r="L38" s="1">
        <f>3*56</f>
        <v>168</v>
      </c>
    </row>
    <row r="39" spans="4:12">
      <c r="D39" s="1" t="s">
        <v>215</v>
      </c>
      <c r="E39" s="144" t="s">
        <v>125</v>
      </c>
      <c r="F39" s="1" t="s">
        <v>219</v>
      </c>
      <c r="G39" s="144" t="s">
        <v>126</v>
      </c>
      <c r="H39" s="1" t="s">
        <v>29</v>
      </c>
      <c r="I39" s="144" t="s">
        <v>125</v>
      </c>
      <c r="J39" s="1" t="s">
        <v>218</v>
      </c>
      <c r="K39" s="144" t="s">
        <v>125</v>
      </c>
      <c r="L39" s="1" t="s">
        <v>220</v>
      </c>
    </row>
    <row r="40" spans="4:12">
      <c r="D40" s="1">
        <f>20*0.6</f>
        <v>12</v>
      </c>
      <c r="E40" s="1"/>
      <c r="F40" s="1">
        <f>+D40*F38/D38</f>
        <v>40.5</v>
      </c>
      <c r="G40" s="1"/>
      <c r="H40" s="1">
        <f>+D40/D38*H38</f>
        <v>10.5</v>
      </c>
      <c r="I40" s="1"/>
      <c r="J40" s="1">
        <f>+D40/D38*J38</f>
        <v>10.5</v>
      </c>
      <c r="K40" s="1"/>
      <c r="L40" s="1">
        <f>+D40/D38*L38</f>
        <v>31.5</v>
      </c>
    </row>
    <row r="42" spans="4:12">
      <c r="D42" s="1">
        <v>28</v>
      </c>
      <c r="E42" s="1"/>
      <c r="F42" s="1">
        <f>72*2</f>
        <v>144</v>
      </c>
      <c r="G42" s="1"/>
      <c r="H42" s="1">
        <f>28+32</f>
        <v>60</v>
      </c>
      <c r="I42" s="1"/>
      <c r="J42" s="1">
        <f>56*2</f>
        <v>112</v>
      </c>
    </row>
    <row r="43" spans="4:12">
      <c r="D43" s="1" t="s">
        <v>136</v>
      </c>
      <c r="E43" s="144" t="s">
        <v>125</v>
      </c>
      <c r="F43" s="1" t="s">
        <v>216</v>
      </c>
      <c r="G43" s="144" t="s">
        <v>126</v>
      </c>
      <c r="H43" s="1" t="s">
        <v>31</v>
      </c>
      <c r="I43" s="144" t="s">
        <v>125</v>
      </c>
      <c r="J43" s="1" t="s">
        <v>217</v>
      </c>
    </row>
    <row r="44" spans="4:12">
      <c r="D44" s="1">
        <f>+B3*0.16*0.2</f>
        <v>8.9600000000000009</v>
      </c>
      <c r="E44" s="1"/>
      <c r="F44" s="3">
        <f>+D44/D42*F42</f>
        <v>46.08</v>
      </c>
      <c r="G44" s="1"/>
      <c r="H44" s="3">
        <f>+D44/D42*H42</f>
        <v>19.2</v>
      </c>
      <c r="I44" s="1"/>
      <c r="J44" s="1">
        <f>+D44/D42*J42</f>
        <v>35.840000000000003</v>
      </c>
    </row>
    <row r="46" spans="4:12">
      <c r="D46" s="1">
        <v>55</v>
      </c>
      <c r="E46" s="1"/>
      <c r="F46" s="1">
        <v>72</v>
      </c>
      <c r="G46" s="1"/>
      <c r="H46" s="1">
        <v>71</v>
      </c>
      <c r="I46" s="1"/>
      <c r="J46" s="1">
        <v>56</v>
      </c>
    </row>
    <row r="47" spans="4:12">
      <c r="D47" s="1" t="s">
        <v>74</v>
      </c>
      <c r="E47" s="144" t="s">
        <v>125</v>
      </c>
      <c r="F47" s="1" t="s">
        <v>35</v>
      </c>
      <c r="G47" s="144" t="s">
        <v>126</v>
      </c>
      <c r="H47" s="1" t="s">
        <v>34</v>
      </c>
      <c r="I47" s="144" t="s">
        <v>125</v>
      </c>
      <c r="J47" s="1" t="s">
        <v>138</v>
      </c>
    </row>
    <row r="48" spans="4:12">
      <c r="D48" s="1"/>
      <c r="E48" s="1"/>
      <c r="F48" s="1"/>
      <c r="G48" s="1"/>
      <c r="H48" s="1"/>
      <c r="I48" s="1"/>
      <c r="J48" s="1"/>
    </row>
  </sheetData>
  <mergeCells count="3">
    <mergeCell ref="D8:D9"/>
    <mergeCell ref="M2:N2"/>
    <mergeCell ref="M15:N1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9" sqref="K9"/>
    </sheetView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5"/>
  <sheetViews>
    <sheetView topLeftCell="A70" zoomScaleNormal="100" workbookViewId="0">
      <selection activeCell="G87" sqref="G87"/>
    </sheetView>
  </sheetViews>
  <sheetFormatPr baseColWidth="10" defaultColWidth="11.42578125" defaultRowHeight="15"/>
  <cols>
    <col min="1" max="1" width="23.7109375" style="1" bestFit="1" customWidth="1"/>
    <col min="2" max="2" width="11.42578125" style="1"/>
    <col min="3" max="3" width="13.5703125" style="1" customWidth="1"/>
    <col min="4" max="4" width="11.42578125" style="1"/>
    <col min="5" max="5" width="12.5703125" style="1" bestFit="1" customWidth="1"/>
    <col min="6" max="6" width="11.42578125" style="1"/>
    <col min="7" max="7" width="8.7109375" style="1" bestFit="1" customWidth="1"/>
    <col min="8" max="12" width="11.42578125" style="1"/>
    <col min="13" max="13" width="12.42578125" style="1" bestFit="1" customWidth="1"/>
    <col min="14" max="15" width="8.85546875" style="1" customWidth="1"/>
    <col min="16" max="16384" width="11.42578125" style="1"/>
  </cols>
  <sheetData>
    <row r="1" spans="1:15">
      <c r="A1" s="1" t="s">
        <v>0</v>
      </c>
      <c r="B1" s="1" t="s">
        <v>3</v>
      </c>
      <c r="C1" s="1" t="s">
        <v>21</v>
      </c>
      <c r="D1" s="1" t="s">
        <v>1</v>
      </c>
      <c r="E1" s="1" t="s">
        <v>4</v>
      </c>
      <c r="F1" s="1" t="s">
        <v>20</v>
      </c>
      <c r="G1" s="1" t="s">
        <v>56</v>
      </c>
      <c r="I1" s="7" t="s">
        <v>32</v>
      </c>
      <c r="J1" s="8">
        <f>+B16+B27+B32+I19+B26</f>
        <v>3935.0000000000009</v>
      </c>
      <c r="K1" s="1" t="s">
        <v>42</v>
      </c>
      <c r="L1" s="1" t="s">
        <v>39</v>
      </c>
    </row>
    <row r="2" spans="1:15">
      <c r="A2" s="2" t="s">
        <v>9</v>
      </c>
      <c r="B2" s="1">
        <v>16</v>
      </c>
      <c r="C2" s="3">
        <f t="shared" ref="C2:C12" si="0">+B2*(1-F2)</f>
        <v>14.879999999999999</v>
      </c>
      <c r="D2" s="3">
        <f>+B2-C2</f>
        <v>1.120000000000001</v>
      </c>
      <c r="E2" s="4">
        <f>IF(B2&gt;0,C2/B2,0)</f>
        <v>0.92999999999999994</v>
      </c>
      <c r="F2" s="4">
        <v>7.0000000000000007E-2</v>
      </c>
      <c r="G2" s="1">
        <v>330</v>
      </c>
      <c r="I2" s="1" t="s">
        <v>29</v>
      </c>
      <c r="J2" s="5">
        <f>+B19+B28</f>
        <v>930.50000000000023</v>
      </c>
      <c r="K2" s="15">
        <f>+J2/$J$1</f>
        <v>0.23646759847522236</v>
      </c>
      <c r="L2" s="10">
        <f>+J2/J3</f>
        <v>1.3151943462897526</v>
      </c>
    </row>
    <row r="3" spans="1:15">
      <c r="A3" s="2" t="s">
        <v>10</v>
      </c>
      <c r="B3" s="1">
        <v>0</v>
      </c>
      <c r="C3" s="3">
        <f t="shared" si="0"/>
        <v>0</v>
      </c>
      <c r="D3" s="3">
        <f t="shared" ref="D3:D12" si="1">+B3-C3</f>
        <v>0</v>
      </c>
      <c r="E3" s="4">
        <f>IF(B3&gt;0,C3/B3,0)</f>
        <v>0</v>
      </c>
      <c r="F3" s="4">
        <v>0.1</v>
      </c>
      <c r="G3" s="1">
        <v>280</v>
      </c>
      <c r="I3" s="1" t="s">
        <v>31</v>
      </c>
      <c r="J3" s="5">
        <f>+B17+B30</f>
        <v>707.50000000000023</v>
      </c>
      <c r="K3" s="15">
        <f t="shared" ref="K3:K8" si="2">+J3/$J$1</f>
        <v>0.17979669631512074</v>
      </c>
    </row>
    <row r="4" spans="1:15">
      <c r="A4" s="2" t="s">
        <v>11</v>
      </c>
      <c r="B4" s="1">
        <v>0</v>
      </c>
      <c r="C4" s="3">
        <f t="shared" si="0"/>
        <v>0</v>
      </c>
      <c r="D4" s="3">
        <f t="shared" si="1"/>
        <v>0</v>
      </c>
      <c r="E4" s="4">
        <f t="shared" ref="E4:E12" si="3">IF(B4&gt;0,C4/B4,0)</f>
        <v>0</v>
      </c>
      <c r="F4" s="4">
        <v>0</v>
      </c>
      <c r="G4" s="1">
        <v>290</v>
      </c>
      <c r="I4" s="1" t="s">
        <v>33</v>
      </c>
      <c r="J4" s="5">
        <f>+B22</f>
        <v>150.75000000000009</v>
      </c>
      <c r="K4" s="15">
        <f t="shared" si="2"/>
        <v>3.8310038119440927E-2</v>
      </c>
      <c r="L4" s="1" t="s">
        <v>62</v>
      </c>
    </row>
    <row r="5" spans="1:15">
      <c r="A5" s="2" t="s">
        <v>12</v>
      </c>
      <c r="B5" s="1">
        <v>1</v>
      </c>
      <c r="C5" s="3">
        <f t="shared" si="0"/>
        <v>0.92999999999999994</v>
      </c>
      <c r="D5" s="3">
        <f t="shared" si="1"/>
        <v>7.0000000000000062E-2</v>
      </c>
      <c r="E5" s="4">
        <f t="shared" si="3"/>
        <v>0.92999999999999994</v>
      </c>
      <c r="F5" s="4">
        <v>7.0000000000000007E-2</v>
      </c>
      <c r="G5" s="1">
        <v>280</v>
      </c>
      <c r="H5" s="4"/>
      <c r="I5" s="1" t="s">
        <v>30</v>
      </c>
      <c r="J5" s="5">
        <f>+B21+B33+B29</f>
        <v>443.50000000000006</v>
      </c>
      <c r="K5" s="15">
        <f t="shared" si="2"/>
        <v>0.11270648030495552</v>
      </c>
      <c r="L5" s="10">
        <f>+(J2)/(J3+J4)</f>
        <v>1.0841829303815902</v>
      </c>
    </row>
    <row r="6" spans="1:15">
      <c r="A6" s="2" t="s">
        <v>13</v>
      </c>
      <c r="B6" s="1">
        <v>5</v>
      </c>
      <c r="C6" s="3">
        <f t="shared" si="0"/>
        <v>4.75</v>
      </c>
      <c r="D6" s="3">
        <f t="shared" si="1"/>
        <v>0.25</v>
      </c>
      <c r="E6" s="4">
        <f t="shared" si="3"/>
        <v>0.95</v>
      </c>
      <c r="F6" s="4">
        <v>0.05</v>
      </c>
      <c r="G6" s="1">
        <v>310</v>
      </c>
      <c r="H6" s="16"/>
      <c r="I6" s="1" t="s">
        <v>34</v>
      </c>
      <c r="J6" s="5">
        <f>+B23</f>
        <v>227.69590909090911</v>
      </c>
      <c r="K6" s="15">
        <f t="shared" si="2"/>
        <v>5.7864271687651604E-2</v>
      </c>
    </row>
    <row r="7" spans="1:15">
      <c r="A7" s="2" t="s">
        <v>14</v>
      </c>
      <c r="B7" s="1">
        <v>0</v>
      </c>
      <c r="C7" s="3">
        <f t="shared" si="0"/>
        <v>0</v>
      </c>
      <c r="D7" s="3">
        <f t="shared" si="1"/>
        <v>0</v>
      </c>
      <c r="E7" s="4">
        <f t="shared" si="3"/>
        <v>0</v>
      </c>
      <c r="F7" s="4">
        <v>7.0000000000000007E-2</v>
      </c>
      <c r="G7" s="1">
        <v>290</v>
      </c>
      <c r="I7" s="1" t="s">
        <v>35</v>
      </c>
      <c r="J7" s="5">
        <f>+B20+I19</f>
        <v>1070</v>
      </c>
      <c r="K7" s="15">
        <f>+J7/$J$1</f>
        <v>0.27191867852604823</v>
      </c>
    </row>
    <row r="8" spans="1:15">
      <c r="A8" s="2" t="s">
        <v>15</v>
      </c>
      <c r="B8" s="1">
        <v>0</v>
      </c>
      <c r="C8" s="3">
        <f t="shared" si="0"/>
        <v>0</v>
      </c>
      <c r="D8" s="3">
        <f t="shared" si="1"/>
        <v>0</v>
      </c>
      <c r="E8" s="4">
        <f t="shared" si="3"/>
        <v>0</v>
      </c>
      <c r="F8" s="4">
        <v>0.05</v>
      </c>
      <c r="G8" s="1">
        <v>280</v>
      </c>
      <c r="I8" s="1" t="s">
        <v>38</v>
      </c>
      <c r="J8" s="5">
        <f>+B16-B25+B27-B31+B32-B33</f>
        <v>397.85409090909116</v>
      </c>
      <c r="K8" s="15">
        <f t="shared" si="2"/>
        <v>0.10110650340764703</v>
      </c>
    </row>
    <row r="9" spans="1:15">
      <c r="A9" s="2" t="s">
        <v>16</v>
      </c>
      <c r="B9" s="1">
        <v>2</v>
      </c>
      <c r="C9" s="3">
        <f t="shared" si="0"/>
        <v>1.7</v>
      </c>
      <c r="D9" s="3">
        <f t="shared" si="1"/>
        <v>0.30000000000000004</v>
      </c>
      <c r="E9" s="4">
        <f t="shared" si="3"/>
        <v>0.85</v>
      </c>
      <c r="F9" s="4">
        <v>0.15</v>
      </c>
      <c r="G9" s="1">
        <v>40</v>
      </c>
      <c r="J9" s="5">
        <f>SUM(J2:J8)</f>
        <v>3927.8000000000006</v>
      </c>
    </row>
    <row r="10" spans="1:15">
      <c r="A10" s="2" t="s">
        <v>17</v>
      </c>
      <c r="B10" s="1">
        <v>1</v>
      </c>
      <c r="C10" s="3">
        <f t="shared" si="0"/>
        <v>0.85</v>
      </c>
      <c r="D10" s="3">
        <f t="shared" si="1"/>
        <v>0.15000000000000002</v>
      </c>
      <c r="E10" s="4">
        <f t="shared" si="3"/>
        <v>0.85</v>
      </c>
      <c r="F10" s="4">
        <v>0.15</v>
      </c>
      <c r="G10" s="1">
        <v>40</v>
      </c>
    </row>
    <row r="11" spans="1:15">
      <c r="A11" s="2" t="s">
        <v>18</v>
      </c>
      <c r="B11" s="1">
        <v>1</v>
      </c>
      <c r="C11" s="3">
        <f t="shared" si="0"/>
        <v>0.8</v>
      </c>
      <c r="D11" s="3">
        <f t="shared" si="1"/>
        <v>0.19999999999999996</v>
      </c>
      <c r="E11" s="4">
        <f t="shared" si="3"/>
        <v>0.8</v>
      </c>
      <c r="F11" s="4">
        <v>0.2</v>
      </c>
      <c r="G11" s="1">
        <v>40</v>
      </c>
      <c r="I11" s="14" t="s">
        <v>53</v>
      </c>
      <c r="J11" s="15">
        <f>2.19063*10^-4*L2^6-5.15999*10^-3*L2^5+4.94488*10^-2*L2^4-2.47772*10^-1*L2^3+6.92834*10^-1*L2^2-1.05363*L2+7.70403*10^-1</f>
        <v>0.14820768026873388</v>
      </c>
    </row>
    <row r="12" spans="1:15">
      <c r="A12" s="2" t="s">
        <v>71</v>
      </c>
      <c r="B12" s="1">
        <v>4</v>
      </c>
      <c r="C12" s="3">
        <f t="shared" si="0"/>
        <v>3.84</v>
      </c>
      <c r="D12" s="3">
        <f t="shared" si="1"/>
        <v>0.16000000000000014</v>
      </c>
      <c r="E12" s="4">
        <f t="shared" si="3"/>
        <v>0.96</v>
      </c>
      <c r="F12" s="4">
        <v>0.04</v>
      </c>
      <c r="G12" s="1">
        <v>480</v>
      </c>
      <c r="I12" s="1" t="s">
        <v>55</v>
      </c>
      <c r="J12" s="17">
        <f>+B18/C14/10+((D24+D30)*0.008/C14/10)</f>
        <v>5.4774774774774784E-2</v>
      </c>
    </row>
    <row r="13" spans="1:15">
      <c r="B13" s="3"/>
      <c r="M13" s="1" t="s">
        <v>54</v>
      </c>
      <c r="O13" s="1" t="s">
        <v>4</v>
      </c>
    </row>
    <row r="14" spans="1:15">
      <c r="A14" s="1" t="s">
        <v>2</v>
      </c>
      <c r="B14" s="3">
        <f>SUM(B2:B12)</f>
        <v>30</v>
      </c>
      <c r="C14" s="3">
        <f>SUM(C2:C12)</f>
        <v>27.75</v>
      </c>
      <c r="D14" s="3">
        <f>SUM(D2:D12)</f>
        <v>2.2500000000000009</v>
      </c>
      <c r="E14" s="3">
        <f>SUM(E2:E12)</f>
        <v>6.27</v>
      </c>
      <c r="F14" s="20" t="s">
        <v>57</v>
      </c>
      <c r="G14" s="21">
        <f>+SUMPRODUCT(B2:B12,G2:G12)/M14</f>
        <v>334.87863635443449</v>
      </c>
      <c r="I14" s="1" t="s">
        <v>61</v>
      </c>
      <c r="K14" s="10">
        <f>1348.181674+3.99660706*K2+37.2199612*K5-1.19891958*K6-6.37252956*K4-2.62999577*K7-7.33636128*K3</f>
        <v>1350.973967943371</v>
      </c>
      <c r="M14" s="3">
        <f>(C14*1000+B24-E19)/1000</f>
        <v>27.442777777777778</v>
      </c>
      <c r="O14" s="15">
        <f>+M14/B14</f>
        <v>0.91475925925925927</v>
      </c>
    </row>
    <row r="15" spans="1:15">
      <c r="B15" s="3"/>
      <c r="C15" s="3"/>
      <c r="D15" s="3"/>
      <c r="E15" s="3"/>
    </row>
    <row r="16" spans="1:15">
      <c r="A16" s="7" t="s">
        <v>1</v>
      </c>
      <c r="B16" s="8">
        <f>+D14*1000-B24</f>
        <v>1935.0000000000007</v>
      </c>
      <c r="C16" s="30" t="s">
        <v>72</v>
      </c>
      <c r="D16" s="29">
        <v>6.0000000000000001E-3</v>
      </c>
    </row>
    <row r="17" spans="1:16">
      <c r="A17" s="2" t="s">
        <v>5</v>
      </c>
      <c r="B17" s="5">
        <f>+D14*0.29*1000</f>
        <v>652.50000000000023</v>
      </c>
      <c r="C17" s="1">
        <f>+C14*1000*D16</f>
        <v>166.5</v>
      </c>
      <c r="E17" s="1">
        <f>56*2</f>
        <v>112</v>
      </c>
      <c r="G17" s="1">
        <v>32</v>
      </c>
      <c r="I17" s="1">
        <f>72*2</f>
        <v>144</v>
      </c>
    </row>
    <row r="18" spans="1:16">
      <c r="A18" s="2" t="s">
        <v>22</v>
      </c>
      <c r="B18" s="6">
        <f>+D14*0.32%*1000</f>
        <v>7.2000000000000028</v>
      </c>
      <c r="C18" s="31" t="s">
        <v>73</v>
      </c>
      <c r="D18" s="29">
        <v>8.9999999999999998E-4</v>
      </c>
      <c r="E18" s="1" t="s">
        <v>43</v>
      </c>
      <c r="G18" s="1" t="s">
        <v>41</v>
      </c>
      <c r="I18" s="1" t="s">
        <v>44</v>
      </c>
    </row>
    <row r="19" spans="1:16">
      <c r="A19" s="2" t="s">
        <v>23</v>
      </c>
      <c r="B19" s="5">
        <f>+D14*0.13*1000</f>
        <v>292.50000000000017</v>
      </c>
      <c r="C19" s="10">
        <f>+C14*1000*D18</f>
        <v>24.974999999999998</v>
      </c>
      <c r="E19" s="5">
        <f>+I19*E17/I17</f>
        <v>622.22222222222217</v>
      </c>
      <c r="G19" s="5">
        <f>+I19*G17/I17</f>
        <v>177.77777777777777</v>
      </c>
      <c r="I19" s="5">
        <v>800</v>
      </c>
      <c r="L19" s="1" t="s">
        <v>47</v>
      </c>
      <c r="M19" s="13">
        <f>(G20+G25+G31+B39)/0.92</f>
        <v>839.30080393134222</v>
      </c>
      <c r="P19" s="28">
        <f>+I19/(B14*1000)</f>
        <v>2.6666666666666668E-2</v>
      </c>
    </row>
    <row r="20" spans="1:16">
      <c r="A20" s="2" t="s">
        <v>24</v>
      </c>
      <c r="B20" s="5">
        <f>+D14*0.12*1000</f>
        <v>270.00000000000006</v>
      </c>
      <c r="E20" s="3"/>
      <c r="F20" s="3"/>
      <c r="G20" s="13">
        <f>+G19/1.4284</f>
        <v>124.45937956999285</v>
      </c>
      <c r="I20" s="3"/>
      <c r="M20" s="3"/>
    </row>
    <row r="21" spans="1:16">
      <c r="A21" s="2" t="s">
        <v>25</v>
      </c>
      <c r="B21" s="5">
        <f>+D14*0.05*1000</f>
        <v>112.50000000000004</v>
      </c>
      <c r="G21" s="12"/>
      <c r="L21" s="1" t="s">
        <v>48</v>
      </c>
      <c r="M21" s="13">
        <f>+M19*1.01</f>
        <v>847.6938119706557</v>
      </c>
    </row>
    <row r="22" spans="1:16">
      <c r="A22" s="2" t="s">
        <v>26</v>
      </c>
      <c r="B22" s="5">
        <f>+D14*0.067*1000</f>
        <v>150.75000000000009</v>
      </c>
      <c r="D22" s="254" t="s">
        <v>49</v>
      </c>
      <c r="E22" s="1">
        <v>24</v>
      </c>
      <c r="G22" s="1">
        <v>32</v>
      </c>
      <c r="I22" s="1">
        <f>2*28</f>
        <v>56</v>
      </c>
    </row>
    <row r="23" spans="1:16">
      <c r="A23" s="2" t="s">
        <v>37</v>
      </c>
      <c r="B23" s="5">
        <f>+D14*0.02*1000+B36</f>
        <v>227.69590909090911</v>
      </c>
      <c r="D23" s="254"/>
      <c r="E23" s="1" t="s">
        <v>45</v>
      </c>
      <c r="G23" s="1" t="s">
        <v>41</v>
      </c>
      <c r="I23" s="1" t="s">
        <v>46</v>
      </c>
      <c r="L23" s="1" t="s">
        <v>51</v>
      </c>
      <c r="M23" s="13">
        <f>+M21-M19</f>
        <v>8.3930080393134858</v>
      </c>
      <c r="N23" s="3">
        <f>+M23*1.4284</f>
        <v>11.988572683355383</v>
      </c>
      <c r="O23" s="3">
        <f>+N23*1000</f>
        <v>11988.572683355382</v>
      </c>
    </row>
    <row r="24" spans="1:16">
      <c r="A24" s="2" t="s">
        <v>40</v>
      </c>
      <c r="B24" s="5">
        <f>+D14*0.14*1000</f>
        <v>315.00000000000017</v>
      </c>
      <c r="D24" s="5">
        <v>500</v>
      </c>
      <c r="E24" s="5">
        <f>+D24*0.78*0.85</f>
        <v>331.5</v>
      </c>
      <c r="G24" s="5">
        <f>+E24*G22/E22</f>
        <v>442</v>
      </c>
      <c r="I24" s="5"/>
      <c r="M24" s="3"/>
      <c r="N24" s="3"/>
      <c r="O24" s="3"/>
    </row>
    <row r="25" spans="1:16">
      <c r="A25" s="2"/>
      <c r="B25" s="11">
        <f>SUM(B17:B23)</f>
        <v>1713.1459090909095</v>
      </c>
      <c r="G25" s="13">
        <f>+G24/1.4284</f>
        <v>309.43713245589475</v>
      </c>
      <c r="L25" s="1" t="s">
        <v>52</v>
      </c>
      <c r="M25" s="12">
        <f>+O23/M14</f>
        <v>436.8571133882561</v>
      </c>
    </row>
    <row r="26" spans="1:16">
      <c r="A26" s="9" t="s">
        <v>58</v>
      </c>
      <c r="B26" s="8">
        <v>0</v>
      </c>
    </row>
    <row r="27" spans="1:16">
      <c r="A27" s="9" t="s">
        <v>28</v>
      </c>
      <c r="B27" s="8">
        <v>1100</v>
      </c>
    </row>
    <row r="28" spans="1:16">
      <c r="A28" s="1" t="s">
        <v>29</v>
      </c>
      <c r="B28" s="5">
        <f>+B27*0.58+B26*0.78</f>
        <v>638</v>
      </c>
      <c r="D28" s="254" t="s">
        <v>50</v>
      </c>
      <c r="E28" s="1">
        <v>24</v>
      </c>
      <c r="G28" s="1">
        <v>32</v>
      </c>
      <c r="I28" s="1">
        <f>2*28</f>
        <v>56</v>
      </c>
    </row>
    <row r="29" spans="1:16">
      <c r="A29" s="1" t="s">
        <v>30</v>
      </c>
      <c r="B29" s="5">
        <f>+B27*0.23</f>
        <v>253</v>
      </c>
      <c r="D29" s="254"/>
      <c r="E29" s="1" t="s">
        <v>45</v>
      </c>
      <c r="G29" s="1" t="s">
        <v>41</v>
      </c>
      <c r="I29" s="1" t="s">
        <v>46</v>
      </c>
    </row>
    <row r="30" spans="1:16">
      <c r="A30" s="1" t="s">
        <v>31</v>
      </c>
      <c r="B30" s="5">
        <f>+B27*0.05+B26*0.05</f>
        <v>55</v>
      </c>
      <c r="D30" s="5">
        <v>500</v>
      </c>
      <c r="E30" s="5">
        <f>+D30*0.78*0.85</f>
        <v>331.5</v>
      </c>
      <c r="G30" s="5">
        <f>+E30*G28/E28</f>
        <v>442</v>
      </c>
      <c r="I30" s="5"/>
    </row>
    <row r="31" spans="1:16">
      <c r="B31" s="11">
        <f>SUM(B28:B30)</f>
        <v>946</v>
      </c>
      <c r="G31" s="13">
        <f>+G30/1.4284</f>
        <v>309.43713245589475</v>
      </c>
    </row>
    <row r="32" spans="1:16">
      <c r="A32" s="7" t="s">
        <v>36</v>
      </c>
      <c r="B32" s="8">
        <v>100</v>
      </c>
    </row>
    <row r="33" spans="1:23">
      <c r="A33" s="1" t="s">
        <v>30</v>
      </c>
      <c r="B33" s="5">
        <f>+B32*0.78</f>
        <v>78</v>
      </c>
      <c r="U33" s="1" t="s">
        <v>29</v>
      </c>
      <c r="V33" s="15">
        <f>+J2/($J$2+$J$3+$J$7)</f>
        <v>0.3436115214180207</v>
      </c>
      <c r="W33" s="17"/>
    </row>
    <row r="34" spans="1:23">
      <c r="B34" s="5"/>
      <c r="U34" s="1" t="s">
        <v>35</v>
      </c>
      <c r="V34" s="15">
        <f>+J7/($J$2+$J$3+$J$7)</f>
        <v>0.39512555391432785</v>
      </c>
      <c r="W34" s="17"/>
    </row>
    <row r="35" spans="1:23">
      <c r="A35" s="1" t="s">
        <v>74</v>
      </c>
      <c r="B35" s="1" t="s">
        <v>34</v>
      </c>
      <c r="U35" s="1" t="s">
        <v>31</v>
      </c>
      <c r="V35" s="15">
        <f>+J3/($J$2+$J$3+$J$7)</f>
        <v>0.26126292466765144</v>
      </c>
      <c r="W35" s="17"/>
    </row>
    <row r="36" spans="1:23">
      <c r="A36" s="10">
        <f>+C17-C19</f>
        <v>141.52500000000001</v>
      </c>
      <c r="B36" s="3">
        <f>+A36/55*(55+16)</f>
        <v>182.69590909090908</v>
      </c>
      <c r="U36" s="18" t="s">
        <v>63</v>
      </c>
      <c r="V36" s="19">
        <v>0.15</v>
      </c>
      <c r="W36" s="17"/>
    </row>
    <row r="37" spans="1:23">
      <c r="V37" s="17"/>
    </row>
    <row r="38" spans="1:23">
      <c r="B38" s="1" t="s">
        <v>75</v>
      </c>
    </row>
    <row r="39" spans="1:23">
      <c r="B39" s="10">
        <f>+A36/55*16/1.4284</f>
        <v>28.823095135052572</v>
      </c>
    </row>
    <row r="41" spans="1:23">
      <c r="A41" s="1" t="s">
        <v>6</v>
      </c>
      <c r="B41" s="5">
        <f>+B17*1.5-B19</f>
        <v>686.25000000000023</v>
      </c>
    </row>
    <row r="42" spans="1:23">
      <c r="A42" s="1" t="s">
        <v>7</v>
      </c>
      <c r="B42" s="5">
        <f>+B41/0.6</f>
        <v>1143.7500000000005</v>
      </c>
    </row>
    <row r="43" spans="1:23">
      <c r="A43" s="1" t="s">
        <v>27</v>
      </c>
      <c r="B43" s="5">
        <f>+B42*0.23</f>
        <v>263.06250000000011</v>
      </c>
    </row>
    <row r="44" spans="1:23">
      <c r="A44" s="1" t="s">
        <v>8</v>
      </c>
    </row>
    <row r="53" spans="1:11">
      <c r="K53" s="2" t="s">
        <v>59</v>
      </c>
    </row>
    <row r="54" spans="1:11">
      <c r="K54" s="2" t="s">
        <v>60</v>
      </c>
    </row>
    <row r="63" spans="1:11">
      <c r="A63" s="24" t="s">
        <v>10</v>
      </c>
      <c r="B63" s="25">
        <v>10</v>
      </c>
      <c r="D63" s="2" t="s">
        <v>9</v>
      </c>
      <c r="E63" s="1">
        <v>7</v>
      </c>
    </row>
    <row r="64" spans="1:11">
      <c r="A64" s="24" t="s">
        <v>11</v>
      </c>
      <c r="B64" s="25">
        <v>2</v>
      </c>
      <c r="D64" s="2" t="s">
        <v>10</v>
      </c>
      <c r="E64" s="1">
        <v>10</v>
      </c>
    </row>
    <row r="65" spans="1:5">
      <c r="A65" s="24" t="s">
        <v>64</v>
      </c>
      <c r="B65" s="25">
        <v>0</v>
      </c>
      <c r="D65" s="2" t="s">
        <v>11</v>
      </c>
      <c r="E65" s="1">
        <v>2</v>
      </c>
    </row>
    <row r="66" spans="1:5">
      <c r="A66" s="24" t="s">
        <v>65</v>
      </c>
      <c r="B66" s="25">
        <v>0</v>
      </c>
      <c r="D66" s="2" t="s">
        <v>12</v>
      </c>
      <c r="E66" s="1">
        <v>1</v>
      </c>
    </row>
    <row r="67" spans="1:5">
      <c r="A67" s="24" t="s">
        <v>12</v>
      </c>
      <c r="B67" s="25">
        <v>1</v>
      </c>
      <c r="D67" s="2" t="s">
        <v>13</v>
      </c>
      <c r="E67" s="1">
        <v>4</v>
      </c>
    </row>
    <row r="68" spans="1:5">
      <c r="A68" s="22" t="s">
        <v>66</v>
      </c>
      <c r="B68" s="25">
        <v>7</v>
      </c>
      <c r="D68" s="2" t="s">
        <v>14</v>
      </c>
      <c r="E68" s="1">
        <v>1</v>
      </c>
    </row>
    <row r="69" spans="1:5">
      <c r="A69" s="24" t="s">
        <v>13</v>
      </c>
      <c r="B69" s="25">
        <v>4</v>
      </c>
      <c r="D69" s="2" t="s">
        <v>15</v>
      </c>
      <c r="E69" s="1">
        <v>4</v>
      </c>
    </row>
    <row r="70" spans="1:5">
      <c r="A70" s="24" t="s">
        <v>14</v>
      </c>
      <c r="B70" s="25">
        <v>1</v>
      </c>
      <c r="D70" s="2" t="s">
        <v>16</v>
      </c>
      <c r="E70" s="1">
        <v>5</v>
      </c>
    </row>
    <row r="71" spans="1:5">
      <c r="A71" s="24" t="s">
        <v>15</v>
      </c>
      <c r="B71" s="25">
        <v>3</v>
      </c>
      <c r="D71" s="2" t="s">
        <v>17</v>
      </c>
    </row>
    <row r="72" spans="1:5">
      <c r="A72" s="26" t="s">
        <v>67</v>
      </c>
      <c r="B72" s="25">
        <v>0</v>
      </c>
      <c r="D72" s="2" t="s">
        <v>18</v>
      </c>
    </row>
    <row r="73" spans="1:5">
      <c r="A73" s="26" t="s">
        <v>68</v>
      </c>
      <c r="B73" s="25">
        <v>1</v>
      </c>
      <c r="D73" s="2" t="s">
        <v>19</v>
      </c>
    </row>
    <row r="74" spans="1:5">
      <c r="A74" s="27"/>
      <c r="B74" s="25">
        <v>29</v>
      </c>
      <c r="E74" s="1">
        <f>SUM(E63:E73)</f>
        <v>34</v>
      </c>
    </row>
    <row r="75" spans="1:5">
      <c r="A75" s="23"/>
      <c r="B75" s="23"/>
    </row>
    <row r="76" spans="1:5">
      <c r="A76" s="24" t="s">
        <v>69</v>
      </c>
      <c r="B76" s="25">
        <v>0</v>
      </c>
    </row>
    <row r="77" spans="1:5">
      <c r="A77" s="24" t="s">
        <v>70</v>
      </c>
      <c r="B77" s="25">
        <v>0</v>
      </c>
    </row>
    <row r="78" spans="1:5">
      <c r="A78" s="24" t="s">
        <v>16</v>
      </c>
      <c r="B78" s="25">
        <v>5</v>
      </c>
    </row>
    <row r="82" spans="1:8">
      <c r="A82" s="35" t="s">
        <v>10</v>
      </c>
      <c r="B82" s="36">
        <v>9030</v>
      </c>
      <c r="C82" s="36">
        <f t="shared" ref="C82:C92" si="4">+B82*(1-F82)</f>
        <v>7765.8</v>
      </c>
      <c r="D82" s="36">
        <f>+B82-C82</f>
        <v>1264.1999999999998</v>
      </c>
      <c r="E82" s="37">
        <v>0.86</v>
      </c>
      <c r="F82" s="37">
        <f t="shared" ref="F82:F92" si="5">1-E82</f>
        <v>0.14000000000000001</v>
      </c>
      <c r="G82" s="38">
        <v>322.20999999999998</v>
      </c>
      <c r="H82" s="37"/>
    </row>
    <row r="83" spans="1:8">
      <c r="A83" s="35" t="s">
        <v>76</v>
      </c>
      <c r="B83" s="36">
        <v>3560</v>
      </c>
      <c r="C83" s="36">
        <f t="shared" si="4"/>
        <v>3061.6</v>
      </c>
      <c r="D83" s="36">
        <f t="shared" ref="D83:D92" si="6">+B83-C83</f>
        <v>498.40000000000009</v>
      </c>
      <c r="E83" s="37">
        <v>0.86</v>
      </c>
      <c r="F83" s="37">
        <f t="shared" si="5"/>
        <v>0.14000000000000001</v>
      </c>
      <c r="G83" s="38">
        <v>322.20999999999998</v>
      </c>
      <c r="H83" s="37"/>
    </row>
    <row r="84" spans="1:8">
      <c r="A84" s="35" t="s">
        <v>9</v>
      </c>
      <c r="B84" s="36">
        <v>11930</v>
      </c>
      <c r="C84" s="36">
        <f t="shared" si="4"/>
        <v>10474.540000000001</v>
      </c>
      <c r="D84" s="36">
        <f t="shared" si="6"/>
        <v>1455.4599999999991</v>
      </c>
      <c r="E84" s="37">
        <v>0.878</v>
      </c>
      <c r="F84" s="37">
        <f t="shared" si="5"/>
        <v>0.122</v>
      </c>
      <c r="G84" s="38">
        <v>432.2</v>
      </c>
      <c r="H84" s="37"/>
    </row>
    <row r="85" spans="1:8">
      <c r="A85" s="35" t="s">
        <v>13</v>
      </c>
      <c r="B85" s="36">
        <v>2630</v>
      </c>
      <c r="C85" s="36">
        <f t="shared" si="4"/>
        <v>2406.4500000000003</v>
      </c>
      <c r="D85" s="36">
        <f t="shared" si="6"/>
        <v>223.54999999999973</v>
      </c>
      <c r="E85" s="37">
        <v>0.91500000000000004</v>
      </c>
      <c r="F85" s="37">
        <f t="shared" si="5"/>
        <v>8.4999999999999964E-2</v>
      </c>
      <c r="G85" s="38">
        <v>423.09</v>
      </c>
      <c r="H85" s="37"/>
    </row>
    <row r="86" spans="1:8">
      <c r="A86" s="35" t="s">
        <v>77</v>
      </c>
      <c r="B86" s="36">
        <v>1750</v>
      </c>
      <c r="C86" s="36">
        <f t="shared" si="4"/>
        <v>1452.5</v>
      </c>
      <c r="D86" s="36">
        <f t="shared" si="6"/>
        <v>297.5</v>
      </c>
      <c r="E86" s="37">
        <v>0.83</v>
      </c>
      <c r="F86" s="37">
        <f t="shared" si="5"/>
        <v>0.17000000000000004</v>
      </c>
      <c r="G86" s="38">
        <v>46.07</v>
      </c>
      <c r="H86" s="37"/>
    </row>
    <row r="87" spans="1:8">
      <c r="A87" s="35" t="s">
        <v>78</v>
      </c>
      <c r="B87" s="36">
        <f>+$B$13*H87</f>
        <v>0</v>
      </c>
      <c r="C87" s="36">
        <f t="shared" si="4"/>
        <v>0</v>
      </c>
      <c r="D87" s="36">
        <f t="shared" si="6"/>
        <v>0</v>
      </c>
      <c r="E87" s="37">
        <v>0.83</v>
      </c>
      <c r="F87" s="37">
        <f t="shared" si="5"/>
        <v>0.17000000000000004</v>
      </c>
      <c r="G87" s="38">
        <v>43.32</v>
      </c>
      <c r="H87" s="37"/>
    </row>
    <row r="88" spans="1:8">
      <c r="A88" s="35" t="s">
        <v>79</v>
      </c>
      <c r="B88" s="36">
        <f>+$B$13*H88</f>
        <v>0</v>
      </c>
      <c r="C88" s="36">
        <f t="shared" si="4"/>
        <v>0</v>
      </c>
      <c r="D88" s="36">
        <f t="shared" si="6"/>
        <v>0</v>
      </c>
      <c r="E88" s="37">
        <v>0.78</v>
      </c>
      <c r="F88" s="37">
        <f t="shared" si="5"/>
        <v>0.21999999999999997</v>
      </c>
      <c r="G88" s="38">
        <v>30.94</v>
      </c>
      <c r="H88" s="37"/>
    </row>
    <row r="89" spans="1:8">
      <c r="A89" s="35" t="s">
        <v>80</v>
      </c>
      <c r="B89" s="36">
        <f>+$B$13*H89</f>
        <v>0</v>
      </c>
      <c r="C89" s="36">
        <f t="shared" si="4"/>
        <v>0</v>
      </c>
      <c r="D89" s="36">
        <f t="shared" si="6"/>
        <v>0</v>
      </c>
      <c r="E89" s="37">
        <v>0.78</v>
      </c>
      <c r="F89" s="37">
        <f t="shared" si="5"/>
        <v>0.21999999999999997</v>
      </c>
      <c r="G89" s="38">
        <v>16.46</v>
      </c>
      <c r="H89" s="37"/>
    </row>
    <row r="90" spans="1:8">
      <c r="A90" s="35" t="s">
        <v>81</v>
      </c>
      <c r="B90" s="36">
        <v>8080</v>
      </c>
      <c r="C90" s="36">
        <f t="shared" si="4"/>
        <v>7514.4000000000005</v>
      </c>
      <c r="D90" s="36">
        <f t="shared" si="6"/>
        <v>565.59999999999945</v>
      </c>
      <c r="E90" s="37">
        <v>0.93</v>
      </c>
      <c r="F90" s="37">
        <f t="shared" si="5"/>
        <v>6.9999999999999951E-2</v>
      </c>
      <c r="G90" s="38">
        <v>475.87</v>
      </c>
      <c r="H90" s="37"/>
    </row>
    <row r="91" spans="1:8">
      <c r="A91" s="35" t="s">
        <v>82</v>
      </c>
      <c r="B91" s="36">
        <f>+$B$13*H91</f>
        <v>0</v>
      </c>
      <c r="C91" s="36">
        <f t="shared" si="4"/>
        <v>0</v>
      </c>
      <c r="D91" s="36">
        <f t="shared" si="6"/>
        <v>0</v>
      </c>
      <c r="E91" s="37">
        <v>0.91</v>
      </c>
      <c r="F91" s="37">
        <f t="shared" si="5"/>
        <v>8.9999999999999969E-2</v>
      </c>
      <c r="G91" s="38">
        <v>482.76</v>
      </c>
      <c r="H91" s="37"/>
    </row>
    <row r="92" spans="1:8">
      <c r="A92" s="35" t="s">
        <v>83</v>
      </c>
      <c r="B92" s="36">
        <v>600</v>
      </c>
      <c r="C92" s="36">
        <f t="shared" si="4"/>
        <v>528</v>
      </c>
      <c r="D92" s="36">
        <f t="shared" si="6"/>
        <v>72</v>
      </c>
      <c r="E92" s="37">
        <v>0.88</v>
      </c>
      <c r="F92" s="37">
        <f t="shared" si="5"/>
        <v>0.12</v>
      </c>
      <c r="G92" s="38">
        <v>322.20999999999998</v>
      </c>
      <c r="H92" s="37"/>
    </row>
    <row r="93" spans="1:8">
      <c r="B93" s="3">
        <f>SUM(B82:B92)</f>
        <v>37580</v>
      </c>
      <c r="C93" s="3">
        <f>SUM(C82:C92)</f>
        <v>33203.290000000008</v>
      </c>
      <c r="H93" s="15">
        <f>+C93/B93</f>
        <v>0.88353618946248025</v>
      </c>
    </row>
    <row r="94" spans="1:8">
      <c r="C94" s="1">
        <v>32700</v>
      </c>
      <c r="H94" s="15">
        <f>+C94/B93</f>
        <v>0.87014369345396492</v>
      </c>
    </row>
    <row r="95" spans="1:8">
      <c r="C95" s="1">
        <v>30600</v>
      </c>
      <c r="H95" s="15">
        <f>+C95/C94</f>
        <v>0.93577981651376152</v>
      </c>
    </row>
  </sheetData>
  <mergeCells count="2">
    <mergeCell ref="D22:D23"/>
    <mergeCell ref="D28:D29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T115"/>
  <sheetViews>
    <sheetView workbookViewId="0">
      <selection activeCell="H14" sqref="H14"/>
    </sheetView>
  </sheetViews>
  <sheetFormatPr baseColWidth="10" defaultColWidth="11.42578125" defaultRowHeight="12.75"/>
  <cols>
    <col min="1" max="1" width="18.42578125" style="32" customWidth="1"/>
    <col min="2" max="2" width="9.140625" style="32" customWidth="1"/>
    <col min="3" max="3" width="6.7109375" style="32" customWidth="1"/>
    <col min="4" max="4" width="11.140625" style="32" customWidth="1"/>
    <col min="5" max="5" width="10.42578125" style="32" customWidth="1"/>
    <col min="6" max="6" width="9.28515625" style="32" customWidth="1"/>
    <col min="7" max="7" width="9.140625" style="32" customWidth="1"/>
    <col min="8" max="8" width="9.28515625" style="32" customWidth="1"/>
    <col min="9" max="9" width="8" style="32" customWidth="1"/>
    <col min="10" max="10" width="10.42578125" style="32" bestFit="1" customWidth="1"/>
    <col min="11" max="11" width="5.140625" style="32" customWidth="1"/>
    <col min="12" max="12" width="7.28515625" style="32" customWidth="1"/>
    <col min="13" max="13" width="12.42578125" style="32" bestFit="1" customWidth="1"/>
    <col min="14" max="14" width="7.5703125" style="32" bestFit="1" customWidth="1"/>
    <col min="15" max="15" width="9.42578125" style="32" customWidth="1"/>
    <col min="16" max="16" width="12.140625" style="32" bestFit="1" customWidth="1"/>
    <col min="17" max="16384" width="11.425781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4564.5246181818193</v>
      </c>
      <c r="N1" s="252" t="s">
        <v>42</v>
      </c>
      <c r="O1" s="253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6.5">
      <c r="A2" s="35" t="str">
        <f>+PPC!A2</f>
        <v>LIVIANA</v>
      </c>
      <c r="B2" s="36">
        <f t="shared" ref="B2:B9" si="0">+$B$13*H2</f>
        <v>5.61</v>
      </c>
      <c r="C2" s="36">
        <f t="shared" ref="C2:C9" si="1">+B2*(1-F2)</f>
        <v>4.7123999999999997</v>
      </c>
      <c r="D2" s="36">
        <f>+B2-C2</f>
        <v>0.89760000000000062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917.8791470000001</v>
      </c>
      <c r="N2" s="60" t="s">
        <v>29</v>
      </c>
      <c r="O2" s="97">
        <f t="shared" ref="O2:O9" si="3">+M2/$M$10</f>
        <v>0.27187571897328594</v>
      </c>
      <c r="P2" s="94">
        <f>+M2/M3</f>
        <v>1.6756397542813868</v>
      </c>
      <c r="R2" s="65">
        <f>(C14*1000-E19-E39-(E44-B39)-E49-E54)/1000</f>
        <v>30.136632288888894</v>
      </c>
      <c r="S2" s="66">
        <f>+R2/B14</f>
        <v>0.91323128148148158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2.871</v>
      </c>
      <c r="C3" s="36">
        <f t="shared" si="1"/>
        <v>2.7848699999999997</v>
      </c>
      <c r="D3" s="36">
        <f>+B3-C3</f>
        <v>8.6130000000000262E-2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547.77833042857162</v>
      </c>
      <c r="N3" s="60" t="s">
        <v>31</v>
      </c>
      <c r="O3" s="97">
        <f t="shared" si="3"/>
        <v>0.16225189112315033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14.090999999999999</v>
      </c>
      <c r="C4" s="36">
        <f t="shared" si="1"/>
        <v>12.400079999999999</v>
      </c>
      <c r="D4" s="36">
        <f t="shared" ref="D4:D9" si="4">+B4-C4</f>
        <v>1.6909200000000002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174.12121833333339</v>
      </c>
      <c r="N4" s="60" t="s">
        <v>33</v>
      </c>
      <c r="O4" s="97">
        <f t="shared" si="3"/>
        <v>5.1574688865744012E-2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6.5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188.03075400000003</v>
      </c>
      <c r="N5" s="60" t="s">
        <v>30</v>
      </c>
      <c r="O5" s="97">
        <f t="shared" si="3"/>
        <v>5.569469205169672E-2</v>
      </c>
      <c r="P5" s="96">
        <f>1348.181674+3.99660706*O2+37.2199612*O5-1.19891958*O6-6.37252956*O4-2.62999577*O7-7.33636128*O3+2.000343166*O8</f>
        <v>1348.9983107854789</v>
      </c>
      <c r="R5" s="65">
        <f>+R2*S4</f>
        <v>29.684582804555561</v>
      </c>
      <c r="S5" s="66">
        <f>+S2*S4</f>
        <v>0.8995328122592593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203.04888218181821</v>
      </c>
      <c r="N6" s="60" t="s">
        <v>34</v>
      </c>
      <c r="O6" s="97">
        <f t="shared" si="3"/>
        <v>6.0143060238739526E-2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8.5139999999999993</v>
      </c>
      <c r="C7" s="36">
        <f t="shared" si="1"/>
        <v>8.1734399999999994</v>
      </c>
      <c r="D7" s="36">
        <f t="shared" si="4"/>
        <v>0.34055999999999997</v>
      </c>
      <c r="E7" s="37">
        <f>+PPC!E7</f>
        <v>0.96</v>
      </c>
      <c r="F7" s="37">
        <f t="shared" si="2"/>
        <v>4.0000000000000036E-2</v>
      </c>
      <c r="G7" s="38">
        <v>43.32</v>
      </c>
      <c r="H7" s="37">
        <f>+PPC!J7</f>
        <v>0.25800000000000001</v>
      </c>
      <c r="L7" s="32" t="s">
        <v>35</v>
      </c>
      <c r="M7" s="40">
        <f>+B24+I19</f>
        <v>978.10192000000029</v>
      </c>
      <c r="N7" s="60" t="s">
        <v>35</v>
      </c>
      <c r="O7" s="97">
        <f t="shared" si="3"/>
        <v>0.28971369880042769</v>
      </c>
      <c r="P7" s="95" t="s">
        <v>62</v>
      </c>
      <c r="R7" s="61" t="s">
        <v>166</v>
      </c>
      <c r="S7" s="49">
        <f>+G20+G25+G30+G35+G40+G45+G50</f>
        <v>1279.2661501133152</v>
      </c>
      <c r="T7" s="183">
        <f>+S7/R2</f>
        <v>42.448875436721217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6.5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17.138027322580651</v>
      </c>
      <c r="N8" s="60" t="s">
        <v>102</v>
      </c>
      <c r="O8" s="59">
        <f t="shared" si="3"/>
        <v>5.0762821176832257E-3</v>
      </c>
      <c r="P8" s="94">
        <f>+O2/(O3+O4)</f>
        <v>1.2714776572089705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1.9140000000000001</v>
      </c>
      <c r="C9" s="36">
        <f t="shared" si="1"/>
        <v>1.83744</v>
      </c>
      <c r="D9" s="36">
        <f t="shared" si="4"/>
        <v>7.6560000000000183E-2</v>
      </c>
      <c r="E9" s="37">
        <f>+PPC!E9</f>
        <v>0.96</v>
      </c>
      <c r="F9" s="37">
        <f t="shared" si="2"/>
        <v>4.0000000000000036E-2</v>
      </c>
      <c r="G9" s="38">
        <v>16.46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0.1036699678292725</v>
      </c>
      <c r="R9" s="61" t="s">
        <v>127</v>
      </c>
      <c r="S9" s="62">
        <v>1000</v>
      </c>
      <c r="T9" s="183">
        <f>+S9/R5</f>
        <v>33.687520777503885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113.73238092967874</v>
      </c>
      <c r="L10" s="133" t="s">
        <v>32</v>
      </c>
      <c r="M10" s="134">
        <f>SUM(M2:M9)</f>
        <v>3376.0982792663044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16.843760388751942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>
        <f>+S9-S7</f>
        <v>-279.26615011331523</v>
      </c>
      <c r="T11" s="183">
        <f>+S11*1.4284</f>
        <v>-398.90376882185944</v>
      </c>
      <c r="U11" s="183">
        <f>+T11*1000</f>
        <v>-398903.76882185944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6.5">
      <c r="B13" s="63">
        <v>33</v>
      </c>
      <c r="M13" s="35" t="s">
        <v>53</v>
      </c>
      <c r="N13" s="37">
        <f>2.19063*10^-4*P2^6-5.15999*10^-3*P2^5+4.94488*10^-2*P2^4-2.47772*10^-1*P2^3+6.92834*10^-1*P2^2-1.05363*P2+7.70403*10^-1</f>
        <v>0.11101464372728465</v>
      </c>
      <c r="O13" s="40">
        <f>+(N13-O5)*M10</f>
        <v>186.76559366104752</v>
      </c>
      <c r="P13" s="36">
        <f>27*O13*0.6</f>
        <v>3025.6026173089695</v>
      </c>
      <c r="R13" s="181" t="s">
        <v>52</v>
      </c>
      <c r="S13" s="184">
        <f>+U11/R2*0.5</f>
        <v>-6618.2539077024157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33</v>
      </c>
      <c r="C14" s="36">
        <f>SUM(C2:C12)+C78/1000</f>
        <v>30.657132000000001</v>
      </c>
      <c r="D14" s="36">
        <f>SUM(D2:D9)</f>
        <v>3.0917700000000012</v>
      </c>
      <c r="E14" s="36"/>
      <c r="F14" s="43" t="s">
        <v>57</v>
      </c>
      <c r="G14" s="44">
        <f>+SUMPRODUCT(B2:B12,G2:G12)/R2</f>
        <v>150.05097041540475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/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3.5" thickBot="1">
      <c r="A16" s="33" t="s">
        <v>212</v>
      </c>
      <c r="B16" s="34">
        <f>+D14*1000</f>
        <v>3091.7700000000013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+G78</f>
        <v>440.64975900000019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+F78</f>
        <v>121.13788500000004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+D78</f>
        <v>336.8791470000001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3.5" thickBot="1">
      <c r="A20" s="35" t="s">
        <v>107</v>
      </c>
      <c r="B20" s="40">
        <f>+E78</f>
        <v>68.03075400000003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3.5" thickBot="1">
      <c r="A21" s="35" t="s">
        <v>108</v>
      </c>
      <c r="B21" s="40">
        <f>+H78</f>
        <v>30.294264000000013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+K78</f>
        <v>0</v>
      </c>
      <c r="D22" s="250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6.5">
      <c r="A23" s="35" t="s">
        <v>141</v>
      </c>
      <c r="B23" s="40">
        <f>+I78</f>
        <v>13.773177000000006</v>
      </c>
      <c r="D23" s="251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+J78</f>
        <v>578.10192000000029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3.5" thickBot="1">
      <c r="A25" s="35"/>
      <c r="B25" s="51">
        <f>SUM(B17:B24)</f>
        <v>1588.8669060000007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3.5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50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+B27*0.58+B26*0.83</f>
        <v>581</v>
      </c>
      <c r="D28" s="251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+B27*0.23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3.5" thickBot="1">
      <c r="A30" s="32" t="s">
        <v>31</v>
      </c>
      <c r="B30" s="40">
        <f>+B27*0.05+B26*0.05</f>
        <v>35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3.5" thickBot="1">
      <c r="B31" s="51">
        <f>SUM(B28:B30)</f>
        <v>616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200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0.37560127562714718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120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0.40024477083513249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3.5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0.22415395353772036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3.5" thickBot="1">
      <c r="B36" s="51">
        <f>+B32-B34-B35</f>
        <v>-120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172.75461818181819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23.1</v>
      </c>
      <c r="C39" s="99">
        <f>+B39/R2/1000</f>
        <v>7.6650900401093467E-4</v>
      </c>
      <c r="D39" s="82"/>
      <c r="E39" s="74">
        <f>+B14*1000*(M27-N27)%</f>
        <v>2.4485999999999999</v>
      </c>
      <c r="F39" s="71"/>
      <c r="G39" s="74">
        <f>+E39*0.6/E37*G37</f>
        <v>1.895690322580645</v>
      </c>
      <c r="H39" s="71"/>
      <c r="I39" s="75">
        <f>+G39/G37*I37</f>
        <v>3.3648503225806445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3.5" thickBot="1">
      <c r="A40" s="89" t="s">
        <v>137</v>
      </c>
      <c r="B40" s="90">
        <f>+B22+((D24+D29)*0.008)</f>
        <v>4.96</v>
      </c>
      <c r="C40" s="99">
        <f>+B40/R2/1000</f>
        <v>1.6458375151057298E-4</v>
      </c>
      <c r="D40" s="76"/>
      <c r="E40" s="77"/>
      <c r="F40" s="77"/>
      <c r="G40" s="78">
        <f>+G39/1.4284</f>
        <v>1.3271424829044001</v>
      </c>
      <c r="H40" s="77"/>
      <c r="I40" s="79"/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3.5" thickBot="1">
      <c r="A41" s="89" t="s">
        <v>129</v>
      </c>
      <c r="B41" s="90">
        <f>+E39*0.4</f>
        <v>0.97943999999999998</v>
      </c>
      <c r="C41" s="99">
        <f>+B41/R2/1000</f>
        <v>3.2499981770063631E-5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157.44000000000003</v>
      </c>
      <c r="F44" s="71"/>
      <c r="G44" s="74">
        <f>+E44*0.85/E42*G42</f>
        <v>38.930618181818183</v>
      </c>
      <c r="H44" s="71"/>
      <c r="I44" s="75">
        <f>+G44/G42*I42</f>
        <v>172.75461818181819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3.5" thickBot="1">
      <c r="D45" s="76"/>
      <c r="E45" s="77"/>
      <c r="F45" s="77"/>
      <c r="G45" s="78">
        <f>+G44/1.4284</f>
        <v>27.254703291667731</v>
      </c>
      <c r="H45" s="77"/>
      <c r="I45" s="79"/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3.5" thickBot="1">
      <c r="D46" s="71"/>
      <c r="E46" s="71"/>
      <c r="F46" s="71"/>
      <c r="G46" s="91"/>
      <c r="H46" s="71"/>
      <c r="I46" s="71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(B14-B11)*1000*0.12%+B11*0.15%*1000</f>
        <v>39.599999999999994</v>
      </c>
      <c r="F49" s="71"/>
      <c r="G49" s="74">
        <f>+E49*0.85/E47*G47</f>
        <v>38.468571428571423</v>
      </c>
      <c r="H49" s="71"/>
      <c r="I49" s="75">
        <f>+G49/G47*I47</f>
        <v>72.128571428571419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3.5" thickBot="1">
      <c r="D50" s="76"/>
      <c r="E50" s="77"/>
      <c r="F50" s="77"/>
      <c r="G50" s="78">
        <f>+G49/1.4284</f>
        <v>26.931231747809736</v>
      </c>
      <c r="H50" s="77"/>
      <c r="I50" s="79"/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3.5" thickBot="1">
      <c r="D51" s="71"/>
      <c r="E51" s="71"/>
      <c r="F51" s="71"/>
      <c r="G51" s="91"/>
      <c r="H51" s="71"/>
      <c r="I51" s="71"/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33</v>
      </c>
      <c r="F54" s="71"/>
      <c r="G54" s="74">
        <f>+E54*0.85/E52*G52</f>
        <v>24.933333333333337</v>
      </c>
      <c r="H54" s="71"/>
      <c r="I54" s="75">
        <f>+G54/G52*I52</f>
        <v>52.983333333333334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3.5" thickBot="1">
      <c r="D55" s="76"/>
      <c r="E55" s="77"/>
      <c r="F55" s="77"/>
      <c r="G55" s="78">
        <f>+G54/1.4284</f>
        <v>17.4554279846915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28.971369880042769</v>
      </c>
      <c r="FT60" s="36">
        <f>+O5*100</f>
        <v>5.5694692051696721</v>
      </c>
    </row>
    <row r="63" spans="2:176">
      <c r="B63" s="40"/>
    </row>
    <row r="64" spans="2:176">
      <c r="B64" s="40"/>
    </row>
    <row r="65" spans="1:12">
      <c r="B65" s="40"/>
    </row>
    <row r="66" spans="1:12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2">
      <c r="A67" s="35" t="s">
        <v>10</v>
      </c>
      <c r="B67" s="36">
        <f>+D2*1000</f>
        <v>897.60000000000059</v>
      </c>
      <c r="C67" s="36">
        <f>+B67*F84%</f>
        <v>251.3280000000002</v>
      </c>
      <c r="D67" s="36">
        <f>+B67*F85%</f>
        <v>92.183520000000058</v>
      </c>
      <c r="E67" s="36">
        <f>+B67*F86%</f>
        <v>17.413440000000012</v>
      </c>
      <c r="F67" s="36">
        <f>+B67*F87%</f>
        <v>32.04432000000002</v>
      </c>
      <c r="G67" s="36">
        <f>+B67*F88%</f>
        <v>109.77648000000008</v>
      </c>
      <c r="H67" s="36">
        <f>+B67*F89%</f>
        <v>7.8988800000000055</v>
      </c>
      <c r="I67" s="36">
        <f>+B67*F90%</f>
        <v>4.398240000000003</v>
      </c>
      <c r="J67" s="36">
        <f>+B67*F91%</f>
        <v>179.52000000000012</v>
      </c>
      <c r="K67" s="36">
        <f>+B67*F92%</f>
        <v>0</v>
      </c>
      <c r="L67" s="36">
        <f>+C67*F93%</f>
        <v>0</v>
      </c>
    </row>
    <row r="68" spans="1:12">
      <c r="A68" s="35" t="s">
        <v>76</v>
      </c>
      <c r="B68" s="36">
        <f>+D3*1000</f>
        <v>86.130000000000265</v>
      </c>
      <c r="C68" s="36">
        <f>+B68*D84%</f>
        <v>24.116400000000077</v>
      </c>
      <c r="D68" s="36">
        <f>+B68*D85%</f>
        <v>8.845551000000027</v>
      </c>
      <c r="E68" s="36">
        <f>+B68*D86%</f>
        <v>1.6709220000000051</v>
      </c>
      <c r="F68" s="36">
        <f>+B68*D87%</f>
        <v>3.074841000000009</v>
      </c>
      <c r="G68" s="36">
        <f>+B68*D88%</f>
        <v>10.533699000000032</v>
      </c>
      <c r="H68" s="36">
        <f>+B68*D89%</f>
        <v>0.75794400000000239</v>
      </c>
      <c r="I68" s="36">
        <f>+B68*D90%</f>
        <v>0.42203700000000127</v>
      </c>
      <c r="J68" s="36">
        <f>+B68*D91%</f>
        <v>17.226000000000052</v>
      </c>
      <c r="K68" s="36">
        <f>+B68*D92%</f>
        <v>0</v>
      </c>
      <c r="L68" s="36">
        <f>+C68*D93%</f>
        <v>0</v>
      </c>
    </row>
    <row r="69" spans="1:12">
      <c r="A69" s="35" t="s">
        <v>9</v>
      </c>
      <c r="B69" s="36">
        <f>+D4*1000</f>
        <v>1690.9200000000003</v>
      </c>
      <c r="C69" s="36">
        <f>+B69*C84%</f>
        <v>473.45760000000013</v>
      </c>
      <c r="D69" s="36">
        <f>+B69*C85%</f>
        <v>173.65748400000004</v>
      </c>
      <c r="E69" s="36">
        <f>+B69*C86%</f>
        <v>32.803848000000009</v>
      </c>
      <c r="F69" s="36">
        <f>+B69*C87%</f>
        <v>60.365844000000003</v>
      </c>
      <c r="G69" s="36">
        <f>+B69*C88%</f>
        <v>206.79951600000004</v>
      </c>
      <c r="H69" s="36">
        <f>+B69*C89%</f>
        <v>14.880096000000004</v>
      </c>
      <c r="I69" s="36">
        <f>+B69*C90%</f>
        <v>8.2855080000000019</v>
      </c>
      <c r="J69" s="36">
        <f>+B69*C91%</f>
        <v>338.18400000000008</v>
      </c>
      <c r="K69" s="36">
        <f>+B69*C92%</f>
        <v>0</v>
      </c>
      <c r="L69" s="36">
        <f>+C69*C93%</f>
        <v>0</v>
      </c>
    </row>
    <row r="70" spans="1:12">
      <c r="A70" s="35" t="s">
        <v>13</v>
      </c>
      <c r="B70" s="36">
        <f t="shared" ref="B70:B77" si="5">+D5*1000</f>
        <v>0</v>
      </c>
      <c r="C70" s="36">
        <f>+B70*D84%</f>
        <v>0</v>
      </c>
      <c r="D70" s="36">
        <f>+B70*D85%</f>
        <v>0</v>
      </c>
      <c r="E70" s="36">
        <f>+B70*D86%</f>
        <v>0</v>
      </c>
      <c r="F70" s="36">
        <f>+B70*D87%</f>
        <v>0</v>
      </c>
      <c r="G70" s="36">
        <f>+B70*D88%</f>
        <v>0</v>
      </c>
      <c r="H70" s="36">
        <f>+B70*D89%</f>
        <v>0</v>
      </c>
      <c r="I70" s="36">
        <f>+B70*D90%</f>
        <v>0</v>
      </c>
      <c r="J70" s="36">
        <f>+B70*D91%</f>
        <v>0</v>
      </c>
      <c r="K70" s="36">
        <f>+B70*D92%</f>
        <v>0</v>
      </c>
      <c r="L70" s="36">
        <f>+C70*D93%</f>
        <v>0</v>
      </c>
    </row>
    <row r="71" spans="1:12">
      <c r="A71" s="35" t="s">
        <v>77</v>
      </c>
      <c r="B71" s="36">
        <f t="shared" si="5"/>
        <v>0</v>
      </c>
      <c r="C71" s="36">
        <f>+B71*B84%</f>
        <v>0</v>
      </c>
      <c r="D71" s="36">
        <f>+B71*B85%</f>
        <v>0</v>
      </c>
      <c r="E71" s="36">
        <f>+B71*B86%</f>
        <v>0</v>
      </c>
      <c r="F71" s="36">
        <f>+B71*B87%</f>
        <v>0</v>
      </c>
      <c r="G71" s="36">
        <f>+B71*B88%</f>
        <v>0</v>
      </c>
      <c r="H71" s="36">
        <f>+B71*B89%</f>
        <v>0</v>
      </c>
      <c r="I71" s="36">
        <f>+B71*B90%</f>
        <v>0</v>
      </c>
      <c r="J71" s="36">
        <f>+B71*B91%</f>
        <v>0</v>
      </c>
      <c r="K71" s="36">
        <f>+B71*B92%</f>
        <v>0</v>
      </c>
      <c r="L71" s="36">
        <f>+C71*B93%</f>
        <v>0</v>
      </c>
    </row>
    <row r="72" spans="1:12">
      <c r="A72" s="35" t="s">
        <v>78</v>
      </c>
      <c r="B72" s="36">
        <f t="shared" si="5"/>
        <v>340.55999999999995</v>
      </c>
      <c r="C72" s="36">
        <f>+B72*B84%</f>
        <v>0</v>
      </c>
      <c r="D72" s="36">
        <f>+B72*B85%</f>
        <v>50.777495999999992</v>
      </c>
      <c r="E72" s="36">
        <f>+B72*B86%</f>
        <v>13.179671999999997</v>
      </c>
      <c r="F72" s="36">
        <f>+B72*B87%</f>
        <v>20.94444</v>
      </c>
      <c r="G72" s="36">
        <f>+B72*B88%</f>
        <v>92.700431999999978</v>
      </c>
      <c r="H72" s="36">
        <f>+B72*B89%</f>
        <v>5.5170719999999998</v>
      </c>
      <c r="I72" s="36">
        <f>+B72*B90%</f>
        <v>0.54489599999999994</v>
      </c>
      <c r="J72" s="36">
        <f>+B72*B91%</f>
        <v>35.247959999999992</v>
      </c>
      <c r="K72" s="36">
        <f>+B72*B92%</f>
        <v>0</v>
      </c>
      <c r="L72" s="36">
        <f>+C72*B93%</f>
        <v>0</v>
      </c>
    </row>
    <row r="73" spans="1:12">
      <c r="A73" s="35" t="s">
        <v>79</v>
      </c>
      <c r="B73" s="36">
        <f t="shared" si="5"/>
        <v>0</v>
      </c>
      <c r="C73" s="36">
        <f>+B73*B84%</f>
        <v>0</v>
      </c>
      <c r="D73" s="36">
        <f>+B73*B85%</f>
        <v>0</v>
      </c>
      <c r="E73" s="36">
        <f>+B73*B86%</f>
        <v>0</v>
      </c>
      <c r="F73" s="36">
        <f>+B73*B87%</f>
        <v>0</v>
      </c>
      <c r="G73" s="36">
        <f>+B73*B88%</f>
        <v>0</v>
      </c>
      <c r="H73" s="36">
        <f>+B73*B89%</f>
        <v>0</v>
      </c>
      <c r="I73" s="36">
        <f>+B73*B90%</f>
        <v>0</v>
      </c>
      <c r="J73" s="36">
        <f>+B73*B91%</f>
        <v>0</v>
      </c>
      <c r="K73" s="36">
        <f>+B73*B92%</f>
        <v>0</v>
      </c>
      <c r="L73" s="36">
        <f>+C73*B93%</f>
        <v>0</v>
      </c>
    </row>
    <row r="74" spans="1:12">
      <c r="A74" s="35" t="s">
        <v>80</v>
      </c>
      <c r="B74" s="36">
        <f t="shared" si="5"/>
        <v>76.560000000000187</v>
      </c>
      <c r="C74" s="36">
        <f>+B74*B84%</f>
        <v>0</v>
      </c>
      <c r="D74" s="36">
        <f>+B74*B85%</f>
        <v>11.415096000000029</v>
      </c>
      <c r="E74" s="36">
        <f>+B74*B86%</f>
        <v>2.9628720000000071</v>
      </c>
      <c r="F74" s="36">
        <f>+B74*B87%</f>
        <v>4.7084400000000119</v>
      </c>
      <c r="G74" s="36">
        <f>+B74*B88%</f>
        <v>20.839632000000051</v>
      </c>
      <c r="H74" s="36">
        <f>+B74*B89%</f>
        <v>1.2402720000000031</v>
      </c>
      <c r="I74" s="36">
        <f>+B74*B90%</f>
        <v>0.1224960000000003</v>
      </c>
      <c r="J74" s="36">
        <f>+B74*B91%</f>
        <v>7.9239600000000188</v>
      </c>
      <c r="K74" s="36">
        <f>+B74*B92%</f>
        <v>0</v>
      </c>
      <c r="L74" s="36">
        <f>+C74*B93%</f>
        <v>0</v>
      </c>
    </row>
    <row r="75" spans="1:12">
      <c r="A75" s="35" t="s">
        <v>81</v>
      </c>
      <c r="B75" s="36">
        <f t="shared" si="5"/>
        <v>0</v>
      </c>
      <c r="C75" s="36">
        <f>+B75*E84%</f>
        <v>0</v>
      </c>
      <c r="D75" s="36">
        <f>+B75*E85%</f>
        <v>0</v>
      </c>
      <c r="E75" s="36">
        <f>+B75*E86%</f>
        <v>0</v>
      </c>
      <c r="F75" s="36">
        <f>+B75*E87%</f>
        <v>0</v>
      </c>
      <c r="G75" s="36">
        <f>+B75*E88%</f>
        <v>0</v>
      </c>
      <c r="H75" s="36">
        <f>+B75*E89%</f>
        <v>0</v>
      </c>
      <c r="I75" s="36">
        <f>+B75*E90%</f>
        <v>0</v>
      </c>
      <c r="J75" s="36">
        <f>+B75*E91%</f>
        <v>0</v>
      </c>
      <c r="K75" s="36">
        <f>+B75*E92%</f>
        <v>0</v>
      </c>
      <c r="L75" s="36">
        <f>+C75*E93%</f>
        <v>0</v>
      </c>
    </row>
    <row r="76" spans="1:12">
      <c r="A76" s="35" t="s">
        <v>82</v>
      </c>
      <c r="B76" s="36">
        <f>+D11*1000</f>
        <v>0</v>
      </c>
      <c r="C76" s="36">
        <f>+B76*F93%</f>
        <v>0</v>
      </c>
      <c r="D76" s="36">
        <f>+B76*F94%</f>
        <v>0</v>
      </c>
      <c r="E76" s="36">
        <f>+B76*F95%</f>
        <v>0</v>
      </c>
      <c r="F76" s="36">
        <f>+B76*F96%</f>
        <v>0</v>
      </c>
      <c r="G76" s="36">
        <f>+B76*F97%</f>
        <v>0</v>
      </c>
      <c r="H76" s="36">
        <f>+B76*F98%</f>
        <v>0</v>
      </c>
      <c r="I76" s="36">
        <f>+B76*F99%</f>
        <v>0</v>
      </c>
      <c r="J76" s="36">
        <f>+B76*F100%</f>
        <v>0</v>
      </c>
      <c r="K76" s="36">
        <f>+B76*F101%</f>
        <v>0</v>
      </c>
      <c r="L76" s="36">
        <f>+C76*G101%</f>
        <v>0</v>
      </c>
    </row>
    <row r="77" spans="1:12">
      <c r="A77" s="35" t="s">
        <v>83</v>
      </c>
      <c r="B77" s="36">
        <f t="shared" si="5"/>
        <v>0</v>
      </c>
      <c r="C77" s="36">
        <f>+B77*D84%</f>
        <v>0</v>
      </c>
      <c r="D77" s="36">
        <f>+B77*D85%</f>
        <v>0</v>
      </c>
      <c r="E77" s="36">
        <f>+B77*D86%</f>
        <v>0</v>
      </c>
      <c r="F77" s="36">
        <f>+B77*D87%</f>
        <v>0</v>
      </c>
      <c r="G77" s="36">
        <f>+B77*D88%</f>
        <v>0</v>
      </c>
      <c r="H77" s="36">
        <f>+B77*D89%</f>
        <v>0</v>
      </c>
      <c r="I77" s="36">
        <f>+B77*D90%</f>
        <v>0</v>
      </c>
      <c r="J77" s="36">
        <f>+B77*D91%</f>
        <v>0</v>
      </c>
      <c r="K77" s="36">
        <f>+B77*D92%</f>
        <v>0</v>
      </c>
      <c r="L77" s="36">
        <f>+C77*D93%</f>
        <v>0</v>
      </c>
    </row>
    <row r="78" spans="1:12" ht="15.75">
      <c r="A78" s="92" t="s">
        <v>119</v>
      </c>
      <c r="B78" s="93">
        <f>SUM(B67:B77)</f>
        <v>3091.7700000000013</v>
      </c>
      <c r="C78" s="93">
        <f>SUM(C67:C77)</f>
        <v>748.90200000000038</v>
      </c>
      <c r="D78" s="93">
        <f>SUM(D67:D77)</f>
        <v>336.8791470000001</v>
      </c>
      <c r="E78" s="93">
        <f t="shared" ref="E78:L78" si="6">SUM(E67:E77)</f>
        <v>68.03075400000003</v>
      </c>
      <c r="F78" s="93">
        <f t="shared" si="6"/>
        <v>121.13788500000004</v>
      </c>
      <c r="G78" s="93">
        <f t="shared" si="6"/>
        <v>440.64975900000019</v>
      </c>
      <c r="H78" s="93">
        <f t="shared" si="6"/>
        <v>30.294264000000013</v>
      </c>
      <c r="I78" s="93">
        <f t="shared" si="6"/>
        <v>13.773177000000006</v>
      </c>
      <c r="J78" s="93">
        <f t="shared" si="6"/>
        <v>578.10192000000029</v>
      </c>
      <c r="K78" s="93">
        <f t="shared" si="6"/>
        <v>0</v>
      </c>
      <c r="L78" s="93">
        <f t="shared" si="6"/>
        <v>0</v>
      </c>
    </row>
    <row r="81" spans="1:18">
      <c r="A81" s="55" t="s">
        <v>99</v>
      </c>
      <c r="B81" s="56" t="s">
        <v>150</v>
      </c>
      <c r="C81" s="56" t="s">
        <v>151</v>
      </c>
      <c r="D81" s="56" t="s">
        <v>152</v>
      </c>
      <c r="E81" s="56" t="s">
        <v>153</v>
      </c>
      <c r="F81" s="56" t="s">
        <v>154</v>
      </c>
      <c r="H81" s="248" t="s">
        <v>144</v>
      </c>
      <c r="I81" s="248"/>
      <c r="J81" s="248"/>
      <c r="K81" s="248"/>
      <c r="M81" s="248" t="s">
        <v>145</v>
      </c>
      <c r="N81" s="248"/>
      <c r="O81" s="248"/>
      <c r="Q81" s="249" t="s">
        <v>148</v>
      </c>
      <c r="R81" s="249"/>
    </row>
    <row r="82" spans="1:18">
      <c r="A82" s="57" t="s">
        <v>118</v>
      </c>
      <c r="B82" s="57" t="s">
        <v>105</v>
      </c>
      <c r="C82" s="57" t="s">
        <v>104</v>
      </c>
      <c r="D82" s="57" t="s">
        <v>103</v>
      </c>
      <c r="E82" s="57" t="s">
        <v>155</v>
      </c>
      <c r="F82" s="57" t="s">
        <v>142</v>
      </c>
    </row>
    <row r="83" spans="1:18">
      <c r="A83" s="57"/>
      <c r="B83" s="57"/>
      <c r="C83" s="57"/>
      <c r="D83" s="57" t="s">
        <v>143</v>
      </c>
      <c r="E83" s="57"/>
      <c r="F83" s="57"/>
    </row>
    <row r="84" spans="1:18">
      <c r="A84" s="58" t="s">
        <v>149</v>
      </c>
      <c r="B84" s="98"/>
      <c r="C84" s="98">
        <v>28</v>
      </c>
      <c r="D84" s="98">
        <v>28</v>
      </c>
      <c r="E84" s="98">
        <v>20</v>
      </c>
      <c r="F84" s="98">
        <v>28</v>
      </c>
    </row>
    <row r="85" spans="1:18">
      <c r="A85" s="58" t="s">
        <v>29</v>
      </c>
      <c r="B85" s="98">
        <v>14.91</v>
      </c>
      <c r="C85" s="98">
        <v>10.27</v>
      </c>
      <c r="D85" s="98">
        <v>10.27</v>
      </c>
      <c r="E85" s="98">
        <v>14.1</v>
      </c>
      <c r="F85" s="98">
        <v>10.27</v>
      </c>
    </row>
    <row r="86" spans="1:18">
      <c r="A86" s="58" t="s">
        <v>30</v>
      </c>
      <c r="B86" s="98">
        <v>3.87</v>
      </c>
      <c r="C86" s="98">
        <v>1.94</v>
      </c>
      <c r="D86" s="98">
        <v>1.94</v>
      </c>
      <c r="E86" s="98">
        <v>3.12</v>
      </c>
      <c r="F86" s="98">
        <v>1.94</v>
      </c>
    </row>
    <row r="87" spans="1:18">
      <c r="A87" s="58" t="s">
        <v>33</v>
      </c>
      <c r="B87" s="98">
        <v>6.15</v>
      </c>
      <c r="C87" s="98">
        <v>3.57</v>
      </c>
      <c r="D87" s="98">
        <v>3.57</v>
      </c>
      <c r="E87" s="98">
        <v>6</v>
      </c>
      <c r="F87" s="98">
        <v>3.57</v>
      </c>
    </row>
    <row r="88" spans="1:18">
      <c r="A88" s="58" t="s">
        <v>31</v>
      </c>
      <c r="B88" s="98">
        <v>27.22</v>
      </c>
      <c r="C88" s="98">
        <v>12.23</v>
      </c>
      <c r="D88" s="98">
        <v>12.23</v>
      </c>
      <c r="E88" s="98">
        <v>22.3</v>
      </c>
      <c r="F88" s="98">
        <v>12.23</v>
      </c>
      <c r="K88" s="37"/>
      <c r="L88" s="39"/>
    </row>
    <row r="89" spans="1:18">
      <c r="A89" s="58" t="s">
        <v>34</v>
      </c>
      <c r="B89" s="98">
        <v>1.62</v>
      </c>
      <c r="C89" s="98">
        <v>0.88</v>
      </c>
      <c r="D89" s="98">
        <v>0.88</v>
      </c>
      <c r="E89" s="98">
        <v>0.97</v>
      </c>
      <c r="F89" s="98">
        <v>0.88</v>
      </c>
      <c r="K89" s="37"/>
      <c r="L89" s="39"/>
    </row>
    <row r="90" spans="1:18">
      <c r="A90" s="58" t="s">
        <v>102</v>
      </c>
      <c r="B90" s="98">
        <v>0.16</v>
      </c>
      <c r="C90" s="98">
        <v>0.49</v>
      </c>
      <c r="D90" s="98">
        <v>0.49</v>
      </c>
      <c r="E90" s="98">
        <v>0.71</v>
      </c>
      <c r="F90" s="98">
        <v>0.49</v>
      </c>
      <c r="K90" s="37"/>
      <c r="L90" s="39"/>
    </row>
    <row r="91" spans="1:18">
      <c r="A91" s="58" t="s">
        <v>35</v>
      </c>
      <c r="B91" s="98">
        <v>10.35</v>
      </c>
      <c r="C91" s="98">
        <v>20</v>
      </c>
      <c r="D91" s="98">
        <v>20</v>
      </c>
      <c r="E91" s="98">
        <v>10.9</v>
      </c>
      <c r="F91" s="98">
        <v>20</v>
      </c>
      <c r="K91" s="37"/>
      <c r="L91" s="39"/>
    </row>
    <row r="92" spans="1:18">
      <c r="A92" s="58" t="s">
        <v>100</v>
      </c>
      <c r="B92" s="98"/>
      <c r="C92" s="98"/>
      <c r="D92" s="98"/>
      <c r="E92" s="98"/>
      <c r="F92" s="98"/>
      <c r="K92" s="37"/>
      <c r="L92" s="39"/>
    </row>
    <row r="93" spans="1:18">
      <c r="A93" s="58" t="s">
        <v>101</v>
      </c>
      <c r="B93" s="98"/>
      <c r="C93" s="98"/>
      <c r="D93" s="98"/>
      <c r="E93" s="98"/>
      <c r="F93" s="98"/>
      <c r="H93" s="248" t="s">
        <v>146</v>
      </c>
      <c r="I93" s="248"/>
      <c r="J93" s="248"/>
      <c r="K93" s="248"/>
      <c r="M93" s="248" t="s">
        <v>147</v>
      </c>
      <c r="N93" s="248"/>
      <c r="O93" s="248"/>
    </row>
    <row r="94" spans="1:18">
      <c r="G94" s="36"/>
      <c r="H94" s="36"/>
      <c r="I94" s="36"/>
      <c r="J94" s="36"/>
    </row>
    <row r="96" spans="1:18">
      <c r="G96" s="37"/>
      <c r="H96" s="37"/>
      <c r="I96" s="37"/>
      <c r="J96" s="37"/>
    </row>
    <row r="97" spans="1:10">
      <c r="C97" s="32" t="s">
        <v>98</v>
      </c>
      <c r="E97" s="32">
        <v>34</v>
      </c>
      <c r="G97" s="37"/>
      <c r="H97" s="37"/>
      <c r="I97" s="37"/>
      <c r="J97" s="37"/>
    </row>
    <row r="98" spans="1:10">
      <c r="A98" s="35" t="s">
        <v>87</v>
      </c>
      <c r="B98" s="32">
        <f>36*0.19</f>
        <v>6.84</v>
      </c>
      <c r="C98" s="37">
        <f>+D98/$D$108</f>
        <v>0.17</v>
      </c>
      <c r="D98" s="32">
        <f>+PPC!B2</f>
        <v>5.95</v>
      </c>
      <c r="E98" s="32">
        <f>+$E$97*D98%</f>
        <v>2.0230000000000001</v>
      </c>
      <c r="G98" s="37"/>
      <c r="H98" s="37"/>
      <c r="I98" s="37"/>
      <c r="J98" s="37"/>
    </row>
    <row r="99" spans="1:10">
      <c r="A99" s="35" t="s">
        <v>88</v>
      </c>
      <c r="B99" s="32">
        <f>36*0.058</f>
        <v>2.0880000000000001</v>
      </c>
      <c r="C99" s="37">
        <f t="shared" ref="C99:C107" si="7">+D99/$D$108</f>
        <v>5.800000000000001E-2</v>
      </c>
      <c r="D99" s="32">
        <f>+PPC!B9</f>
        <v>2.0300000000000002</v>
      </c>
      <c r="E99" s="32">
        <f t="shared" ref="E99:E107" si="8">+$E$97*D99%</f>
        <v>0.69020000000000004</v>
      </c>
      <c r="G99" s="37"/>
      <c r="H99" s="37"/>
      <c r="I99" s="37"/>
      <c r="J99" s="37"/>
    </row>
    <row r="100" spans="1:10">
      <c r="A100" s="35" t="s">
        <v>89</v>
      </c>
      <c r="B100" s="32">
        <f>36*0.074</f>
        <v>2.6639999999999997</v>
      </c>
      <c r="C100" s="37">
        <f t="shared" si="7"/>
        <v>0</v>
      </c>
      <c r="D100" s="32">
        <f>+PPC!B5</f>
        <v>0</v>
      </c>
      <c r="E100" s="32">
        <f t="shared" si="8"/>
        <v>0</v>
      </c>
      <c r="G100" s="37"/>
      <c r="H100" s="37"/>
      <c r="I100" s="37"/>
      <c r="J100" s="37"/>
    </row>
    <row r="101" spans="1:10">
      <c r="A101" s="35" t="s">
        <v>90</v>
      </c>
      <c r="B101" s="32">
        <f>36*0.39</f>
        <v>14.040000000000001</v>
      </c>
      <c r="C101" s="37">
        <f t="shared" si="7"/>
        <v>0.42699999999999999</v>
      </c>
      <c r="D101" s="32">
        <f>+PPC!B4</f>
        <v>14.945</v>
      </c>
      <c r="E101" s="32">
        <f>+$E$97*D101%</f>
        <v>5.0812999999999997</v>
      </c>
      <c r="G101" s="37"/>
      <c r="H101" s="37"/>
      <c r="I101" s="37"/>
      <c r="J101" s="37"/>
    </row>
    <row r="102" spans="1:10">
      <c r="A102" s="35" t="s">
        <v>91</v>
      </c>
      <c r="B102" s="32">
        <f>36*0.2</f>
        <v>7.2</v>
      </c>
      <c r="C102" s="37">
        <f t="shared" si="7"/>
        <v>0.25800000000000001</v>
      </c>
      <c r="D102" s="32">
        <f>+PPC!B7</f>
        <v>9.0300000000000011</v>
      </c>
      <c r="E102" s="32">
        <f t="shared" si="8"/>
        <v>3.0702000000000003</v>
      </c>
      <c r="G102" s="37"/>
      <c r="H102" s="37"/>
      <c r="I102" s="37"/>
      <c r="J102" s="37"/>
    </row>
    <row r="103" spans="1:10">
      <c r="A103" s="35" t="s">
        <v>92</v>
      </c>
      <c r="B103" s="32">
        <f>36*0.07</f>
        <v>2.5200000000000005</v>
      </c>
      <c r="C103" s="37">
        <f t="shared" si="7"/>
        <v>8.6999999999999994E-2</v>
      </c>
      <c r="D103" s="32">
        <f>+PPC!B3</f>
        <v>3.0449999999999999</v>
      </c>
      <c r="E103" s="32">
        <f t="shared" si="8"/>
        <v>1.0352999999999999</v>
      </c>
      <c r="G103" s="37"/>
      <c r="H103" s="37"/>
      <c r="I103" s="37"/>
      <c r="J103" s="37"/>
    </row>
    <row r="104" spans="1:10">
      <c r="A104" s="35" t="s">
        <v>93</v>
      </c>
      <c r="B104" s="32">
        <v>0</v>
      </c>
      <c r="C104" s="37">
        <f t="shared" si="7"/>
        <v>0</v>
      </c>
      <c r="D104" s="32">
        <f>+PPC!B8</f>
        <v>0</v>
      </c>
      <c r="E104" s="32">
        <f t="shared" si="8"/>
        <v>0</v>
      </c>
      <c r="G104" s="37"/>
      <c r="H104" s="37"/>
      <c r="I104" s="37"/>
      <c r="J104" s="37"/>
    </row>
    <row r="105" spans="1:10">
      <c r="A105" s="35" t="s">
        <v>95</v>
      </c>
      <c r="B105" s="32">
        <f>36*0.013</f>
        <v>0.46799999999999997</v>
      </c>
      <c r="C105" s="37">
        <f t="shared" si="7"/>
        <v>0</v>
      </c>
      <c r="D105" s="32">
        <f>+PPC!B6</f>
        <v>0</v>
      </c>
      <c r="E105" s="32">
        <f>+$E$97*D105%</f>
        <v>0</v>
      </c>
    </row>
    <row r="106" spans="1:10">
      <c r="A106" s="35" t="s">
        <v>96</v>
      </c>
      <c r="B106" s="32">
        <v>0</v>
      </c>
      <c r="C106" s="37">
        <f t="shared" si="7"/>
        <v>0</v>
      </c>
      <c r="E106" s="32">
        <f t="shared" si="8"/>
        <v>0</v>
      </c>
    </row>
    <row r="107" spans="1:10">
      <c r="A107" s="35" t="s">
        <v>97</v>
      </c>
      <c r="B107" s="32">
        <f>36*0.003</f>
        <v>0.108</v>
      </c>
      <c r="C107" s="37">
        <f t="shared" si="7"/>
        <v>0</v>
      </c>
      <c r="E107" s="32">
        <f t="shared" si="8"/>
        <v>0</v>
      </c>
    </row>
    <row r="108" spans="1:10">
      <c r="A108" s="35" t="s">
        <v>94</v>
      </c>
      <c r="B108" s="32">
        <f>SUM(B98:B107)</f>
        <v>35.928000000000004</v>
      </c>
      <c r="D108" s="32">
        <f>SUM(D98:D107)</f>
        <v>35</v>
      </c>
    </row>
    <row r="112" spans="1:10">
      <c r="C112" s="32" t="s">
        <v>157</v>
      </c>
      <c r="D112" s="32">
        <v>3222.42</v>
      </c>
      <c r="E112" s="32">
        <f>+D112/$D$115*$E$115</f>
        <v>3.3676187607330314E-2</v>
      </c>
    </row>
    <row r="113" spans="3:5">
      <c r="C113" s="32" t="s">
        <v>158</v>
      </c>
      <c r="D113" s="32">
        <v>26770.382000000001</v>
      </c>
      <c r="E113" s="32">
        <f>+D113/$D$115*$E$115</f>
        <v>0.27976626465572418</v>
      </c>
    </row>
    <row r="114" spans="3:5">
      <c r="C114" s="32" t="s">
        <v>159</v>
      </c>
      <c r="D114" s="32">
        <v>1584.365</v>
      </c>
      <c r="E114" s="32">
        <f>+D114/$D$115*$E$115</f>
        <v>1.6557547736945493E-2</v>
      </c>
    </row>
    <row r="115" spans="3:5">
      <c r="D115" s="32">
        <f>SUM(D112:D114)</f>
        <v>31577.167000000005</v>
      </c>
      <c r="E115" s="32">
        <v>0.33</v>
      </c>
    </row>
  </sheetData>
  <mergeCells count="8">
    <mergeCell ref="Q81:R81"/>
    <mergeCell ref="H93:K93"/>
    <mergeCell ref="M93:O93"/>
    <mergeCell ref="N1:O1"/>
    <mergeCell ref="D22:D23"/>
    <mergeCell ref="D27:D28"/>
    <mergeCell ref="H81:K81"/>
    <mergeCell ref="M81:O81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topLeftCell="A31" workbookViewId="0">
      <selection activeCell="C14" sqref="C14:F26"/>
    </sheetView>
  </sheetViews>
  <sheetFormatPr baseColWidth="10" defaultRowHeight="15"/>
  <sheetData>
    <row r="1" spans="1:8">
      <c r="A1">
        <v>34</v>
      </c>
      <c r="B1">
        <v>28</v>
      </c>
      <c r="C1" s="140">
        <v>0.875</v>
      </c>
      <c r="D1" s="101">
        <f>+A1*0.91-B1</f>
        <v>2.9400000000000013</v>
      </c>
      <c r="E1" s="140">
        <f>+C2-C1</f>
        <v>2.777777777777779E-2</v>
      </c>
      <c r="H1">
        <f>31/34</f>
        <v>0.91176470588235292</v>
      </c>
    </row>
    <row r="2" spans="1:8">
      <c r="A2">
        <v>34</v>
      </c>
      <c r="B2">
        <v>28</v>
      </c>
      <c r="C2" s="140">
        <v>0.90277777777777779</v>
      </c>
      <c r="D2" s="101">
        <f>+A2*0.91176471-B2+D1</f>
        <v>5.9400001400000022</v>
      </c>
    </row>
    <row r="3" spans="1:8">
      <c r="A3">
        <v>34</v>
      </c>
      <c r="B3">
        <f>+A3-3</f>
        <v>31</v>
      </c>
      <c r="C3" s="140">
        <f>+C2+$E$1</f>
        <v>0.93055555555555558</v>
      </c>
      <c r="D3" s="101">
        <f t="shared" ref="D3:D32" si="0">+A3*0.91176471-B3+D2</f>
        <v>5.9400002800000031</v>
      </c>
    </row>
    <row r="4" spans="1:8">
      <c r="A4">
        <v>34</v>
      </c>
      <c r="B4">
        <f t="shared" ref="B4:B31" si="1">+A4-3</f>
        <v>31</v>
      </c>
      <c r="C4" s="140">
        <f t="shared" ref="C4:C33" si="2">+C3+$E$1</f>
        <v>0.95833333333333337</v>
      </c>
      <c r="D4" s="101">
        <f t="shared" si="0"/>
        <v>5.9400004200000041</v>
      </c>
    </row>
    <row r="5" spans="1:8">
      <c r="A5">
        <v>34</v>
      </c>
      <c r="B5">
        <f t="shared" si="1"/>
        <v>31</v>
      </c>
      <c r="C5" s="140">
        <f t="shared" si="2"/>
        <v>0.98611111111111116</v>
      </c>
      <c r="D5" s="101">
        <f t="shared" si="0"/>
        <v>5.940000560000005</v>
      </c>
    </row>
    <row r="6" spans="1:8">
      <c r="A6">
        <v>34</v>
      </c>
      <c r="B6">
        <f t="shared" si="1"/>
        <v>31</v>
      </c>
      <c r="C6" s="140">
        <f t="shared" si="2"/>
        <v>1.0138888888888888</v>
      </c>
      <c r="D6" s="101">
        <f t="shared" si="0"/>
        <v>5.9400007000000059</v>
      </c>
    </row>
    <row r="7" spans="1:8">
      <c r="A7">
        <v>34</v>
      </c>
      <c r="B7">
        <f t="shared" si="1"/>
        <v>31</v>
      </c>
      <c r="C7" s="140">
        <f t="shared" si="2"/>
        <v>1.0416666666666665</v>
      </c>
      <c r="D7" s="101">
        <f t="shared" si="0"/>
        <v>5.9400008400000068</v>
      </c>
    </row>
    <row r="8" spans="1:8">
      <c r="A8">
        <v>34</v>
      </c>
      <c r="B8">
        <f t="shared" si="1"/>
        <v>31</v>
      </c>
      <c r="C8" s="140">
        <f t="shared" si="2"/>
        <v>1.0694444444444442</v>
      </c>
      <c r="D8" s="101">
        <f t="shared" si="0"/>
        <v>5.9400009800000078</v>
      </c>
    </row>
    <row r="9" spans="1:8">
      <c r="A9">
        <v>34</v>
      </c>
      <c r="B9">
        <f t="shared" si="1"/>
        <v>31</v>
      </c>
      <c r="C9" s="140">
        <f t="shared" si="2"/>
        <v>1.0972222222222219</v>
      </c>
      <c r="D9" s="101">
        <f t="shared" si="0"/>
        <v>5.9400011200000087</v>
      </c>
    </row>
    <row r="10" spans="1:8">
      <c r="A10">
        <v>34</v>
      </c>
      <c r="B10">
        <f t="shared" si="1"/>
        <v>31</v>
      </c>
      <c r="C10" s="140">
        <f t="shared" si="2"/>
        <v>1.1249999999999996</v>
      </c>
      <c r="D10" s="101">
        <f t="shared" si="0"/>
        <v>5.9400012600000096</v>
      </c>
    </row>
    <row r="11" spans="1:8">
      <c r="A11">
        <v>34</v>
      </c>
      <c r="B11">
        <f t="shared" si="1"/>
        <v>31</v>
      </c>
      <c r="C11" s="140">
        <f t="shared" si="2"/>
        <v>1.1527777777777772</v>
      </c>
      <c r="D11" s="101">
        <f t="shared" si="0"/>
        <v>5.9400014000000105</v>
      </c>
    </row>
    <row r="12" spans="1:8">
      <c r="A12">
        <v>34</v>
      </c>
      <c r="B12">
        <f t="shared" si="1"/>
        <v>31</v>
      </c>
      <c r="C12" s="140">
        <f t="shared" si="2"/>
        <v>1.1805555555555549</v>
      </c>
      <c r="D12" s="101">
        <f t="shared" si="0"/>
        <v>5.9400015400000115</v>
      </c>
    </row>
    <row r="13" spans="1:8">
      <c r="A13">
        <v>34</v>
      </c>
      <c r="B13">
        <f t="shared" si="1"/>
        <v>31</v>
      </c>
      <c r="C13" s="140">
        <f t="shared" si="2"/>
        <v>1.2083333333333326</v>
      </c>
      <c r="D13" s="101">
        <f t="shared" si="0"/>
        <v>5.9400016800000124</v>
      </c>
    </row>
    <row r="14" spans="1:8">
      <c r="A14">
        <v>34</v>
      </c>
      <c r="B14">
        <f t="shared" si="1"/>
        <v>31</v>
      </c>
      <c r="C14" s="140">
        <f t="shared" si="2"/>
        <v>1.2361111111111103</v>
      </c>
      <c r="D14" s="101">
        <f t="shared" si="0"/>
        <v>5.9400018200000133</v>
      </c>
    </row>
    <row r="15" spans="1:8">
      <c r="A15">
        <v>34</v>
      </c>
      <c r="B15">
        <f t="shared" si="1"/>
        <v>31</v>
      </c>
      <c r="C15" s="140">
        <f t="shared" si="2"/>
        <v>1.263888888888888</v>
      </c>
      <c r="D15" s="101">
        <f t="shared" si="0"/>
        <v>5.9400019600000142</v>
      </c>
    </row>
    <row r="16" spans="1:8">
      <c r="A16">
        <v>34</v>
      </c>
      <c r="B16">
        <f t="shared" si="1"/>
        <v>31</v>
      </c>
      <c r="C16" s="140">
        <f t="shared" si="2"/>
        <v>1.2916666666666656</v>
      </c>
      <c r="D16" s="101">
        <f t="shared" si="0"/>
        <v>5.9400021000000152</v>
      </c>
    </row>
    <row r="17" spans="1:4">
      <c r="A17">
        <v>34</v>
      </c>
      <c r="B17">
        <f t="shared" si="1"/>
        <v>31</v>
      </c>
      <c r="C17" s="140">
        <f t="shared" si="2"/>
        <v>1.3194444444444433</v>
      </c>
      <c r="D17" s="101">
        <f t="shared" si="0"/>
        <v>5.9400022400000161</v>
      </c>
    </row>
    <row r="18" spans="1:4">
      <c r="A18">
        <v>34</v>
      </c>
      <c r="B18">
        <f t="shared" si="1"/>
        <v>31</v>
      </c>
      <c r="C18" s="140">
        <f t="shared" si="2"/>
        <v>1.347222222222221</v>
      </c>
      <c r="D18" s="101">
        <f t="shared" si="0"/>
        <v>5.940002380000017</v>
      </c>
    </row>
    <row r="19" spans="1:4">
      <c r="A19">
        <v>34</v>
      </c>
      <c r="B19">
        <f t="shared" si="1"/>
        <v>31</v>
      </c>
      <c r="C19" s="140">
        <f t="shared" si="2"/>
        <v>1.3749999999999987</v>
      </c>
      <c r="D19" s="101">
        <f t="shared" si="0"/>
        <v>5.9400025200000179</v>
      </c>
    </row>
    <row r="20" spans="1:4">
      <c r="A20">
        <v>34</v>
      </c>
      <c r="B20">
        <f t="shared" si="1"/>
        <v>31</v>
      </c>
      <c r="C20" s="140">
        <f>+C19+$E$1</f>
        <v>1.4027777777777763</v>
      </c>
      <c r="D20" s="101">
        <f t="shared" si="0"/>
        <v>5.9400026600000189</v>
      </c>
    </row>
    <row r="21" spans="1:4">
      <c r="A21">
        <v>34</v>
      </c>
      <c r="B21">
        <f t="shared" si="1"/>
        <v>31</v>
      </c>
      <c r="C21" s="140">
        <f t="shared" si="2"/>
        <v>1.430555555555554</v>
      </c>
      <c r="D21" s="101">
        <f t="shared" si="0"/>
        <v>5.9400028000000198</v>
      </c>
    </row>
    <row r="22" spans="1:4">
      <c r="A22">
        <v>34</v>
      </c>
      <c r="B22">
        <f t="shared" si="1"/>
        <v>31</v>
      </c>
      <c r="C22" s="140">
        <f t="shared" si="2"/>
        <v>1.4583333333333317</v>
      </c>
      <c r="D22" s="101">
        <f t="shared" si="0"/>
        <v>5.9400029400000207</v>
      </c>
    </row>
    <row r="23" spans="1:4">
      <c r="A23">
        <v>34</v>
      </c>
      <c r="B23">
        <f t="shared" si="1"/>
        <v>31</v>
      </c>
      <c r="C23" s="140">
        <f t="shared" si="2"/>
        <v>1.4861111111111094</v>
      </c>
      <c r="D23" s="101">
        <f t="shared" si="0"/>
        <v>5.9400030800000216</v>
      </c>
    </row>
    <row r="24" spans="1:4">
      <c r="A24">
        <v>34</v>
      </c>
      <c r="B24">
        <f t="shared" si="1"/>
        <v>31</v>
      </c>
      <c r="C24" s="140">
        <f t="shared" si="2"/>
        <v>1.5138888888888871</v>
      </c>
      <c r="D24" s="101">
        <f t="shared" si="0"/>
        <v>5.9400032200000226</v>
      </c>
    </row>
    <row r="25" spans="1:4">
      <c r="A25">
        <v>34</v>
      </c>
      <c r="B25">
        <f t="shared" si="1"/>
        <v>31</v>
      </c>
      <c r="C25" s="140">
        <f t="shared" si="2"/>
        <v>1.5416666666666647</v>
      </c>
      <c r="D25" s="101">
        <f t="shared" si="0"/>
        <v>5.9400033600000235</v>
      </c>
    </row>
    <row r="26" spans="1:4">
      <c r="A26">
        <v>34</v>
      </c>
      <c r="B26">
        <f t="shared" si="1"/>
        <v>31</v>
      </c>
      <c r="C26" s="140">
        <f t="shared" si="2"/>
        <v>1.5694444444444424</v>
      </c>
      <c r="D26" s="101">
        <f t="shared" si="0"/>
        <v>5.9400035000000244</v>
      </c>
    </row>
    <row r="27" spans="1:4">
      <c r="A27">
        <v>34</v>
      </c>
      <c r="B27">
        <f t="shared" si="1"/>
        <v>31</v>
      </c>
      <c r="C27" s="140">
        <f t="shared" si="2"/>
        <v>1.5972222222222201</v>
      </c>
      <c r="D27" s="101">
        <f t="shared" si="0"/>
        <v>5.9400036400000253</v>
      </c>
    </row>
    <row r="28" spans="1:4">
      <c r="A28">
        <v>34</v>
      </c>
      <c r="B28">
        <f t="shared" si="1"/>
        <v>31</v>
      </c>
      <c r="C28" s="140">
        <f t="shared" si="2"/>
        <v>1.6249999999999978</v>
      </c>
      <c r="D28" s="101">
        <f t="shared" si="0"/>
        <v>5.9400037800000263</v>
      </c>
    </row>
    <row r="29" spans="1:4">
      <c r="A29">
        <v>34</v>
      </c>
      <c r="B29">
        <f t="shared" si="1"/>
        <v>31</v>
      </c>
      <c r="C29" s="140">
        <f t="shared" si="2"/>
        <v>1.6527777777777755</v>
      </c>
      <c r="D29" s="101">
        <f t="shared" si="0"/>
        <v>5.9400039200000272</v>
      </c>
    </row>
    <row r="30" spans="1:4">
      <c r="A30">
        <v>34</v>
      </c>
      <c r="B30">
        <f t="shared" si="1"/>
        <v>31</v>
      </c>
      <c r="C30" s="140">
        <f t="shared" si="2"/>
        <v>1.6805555555555531</v>
      </c>
      <c r="D30" s="101">
        <f t="shared" si="0"/>
        <v>5.9400040600000281</v>
      </c>
    </row>
    <row r="31" spans="1:4">
      <c r="A31">
        <v>34</v>
      </c>
      <c r="B31">
        <f t="shared" si="1"/>
        <v>31</v>
      </c>
      <c r="C31" s="140">
        <f t="shared" si="2"/>
        <v>1.7083333333333308</v>
      </c>
      <c r="D31" s="101">
        <f t="shared" si="0"/>
        <v>5.940004200000029</v>
      </c>
    </row>
    <row r="32" spans="1:4">
      <c r="A32">
        <v>31</v>
      </c>
      <c r="B32">
        <v>31</v>
      </c>
      <c r="C32" s="140">
        <f t="shared" si="2"/>
        <v>1.7361111111111085</v>
      </c>
      <c r="D32" s="101">
        <f t="shared" si="0"/>
        <v>3.2047102100000302</v>
      </c>
    </row>
    <row r="33" spans="1:4">
      <c r="A33">
        <v>31</v>
      </c>
      <c r="B33">
        <v>31</v>
      </c>
      <c r="C33" s="140">
        <f t="shared" si="2"/>
        <v>1.7638888888888862</v>
      </c>
      <c r="D33" s="101">
        <f>+A33*0.91176471-B33+D32</f>
        <v>0.46941622000003136</v>
      </c>
    </row>
    <row r="34" spans="1:4">
      <c r="C34" s="140"/>
    </row>
    <row r="35" spans="1:4">
      <c r="B35">
        <f>SUM(B1:B34)</f>
        <v>1017</v>
      </c>
      <c r="C35" s="141">
        <f>COUNTA(C1:C33)</f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topLeftCell="C1" workbookViewId="0">
      <selection activeCell="H33" sqref="H33:H35"/>
    </sheetView>
  </sheetViews>
  <sheetFormatPr baseColWidth="10" defaultRowHeight="15"/>
  <cols>
    <col min="1" max="1" width="18.7109375" bestFit="1" customWidth="1"/>
    <col min="2" max="2" width="5.42578125" bestFit="1" customWidth="1"/>
    <col min="3" max="3" width="7.28515625" bestFit="1" customWidth="1"/>
    <col min="4" max="4" width="8.140625" bestFit="1" customWidth="1"/>
    <col min="5" max="5" width="10.5703125" bestFit="1" customWidth="1"/>
    <col min="6" max="6" width="9.28515625" bestFit="1" customWidth="1"/>
    <col min="7" max="7" width="5.7109375" bestFit="1" customWidth="1"/>
    <col min="8" max="8" width="6.140625" bestFit="1" customWidth="1"/>
    <col min="9" max="9" width="12.85546875" bestFit="1" customWidth="1"/>
    <col min="10" max="10" width="18.140625" bestFit="1" customWidth="1"/>
    <col min="11" max="11" width="9.5703125" bestFit="1" customWidth="1"/>
    <col min="12" max="12" width="6.7109375" bestFit="1" customWidth="1"/>
    <col min="13" max="13" width="9.5703125" bestFit="1" customWidth="1"/>
    <col min="14" max="14" width="6.7109375" bestFit="1" customWidth="1"/>
    <col min="15" max="15" width="9.5703125" bestFit="1" customWidth="1"/>
    <col min="16" max="16" width="6.7109375" bestFit="1" customWidth="1"/>
    <col min="17" max="17" width="9.5703125" bestFit="1" customWidth="1"/>
    <col min="18" max="18" width="7.85546875" bestFit="1" customWidth="1"/>
    <col min="19" max="19" width="11.28515625" bestFit="1" customWidth="1"/>
    <col min="20" max="20" width="11" bestFit="1" customWidth="1"/>
  </cols>
  <sheetData>
    <row r="1" spans="1:20">
      <c r="A1" s="105" t="s">
        <v>0</v>
      </c>
      <c r="B1" s="105" t="s">
        <v>3</v>
      </c>
      <c r="C1" s="105" t="s">
        <v>21</v>
      </c>
      <c r="D1" s="105" t="s">
        <v>214</v>
      </c>
      <c r="E1" s="105" t="s">
        <v>4</v>
      </c>
      <c r="F1" s="105" t="s">
        <v>84</v>
      </c>
      <c r="G1" s="105" t="s">
        <v>184</v>
      </c>
      <c r="H1" s="105" t="s">
        <v>86</v>
      </c>
      <c r="I1" s="105" t="s">
        <v>188</v>
      </c>
      <c r="J1" s="105" t="s">
        <v>189</v>
      </c>
      <c r="K1" s="105" t="s">
        <v>190</v>
      </c>
      <c r="L1" s="108" t="s">
        <v>191</v>
      </c>
      <c r="M1" s="105" t="s">
        <v>192</v>
      </c>
      <c r="N1" s="108" t="s">
        <v>193</v>
      </c>
      <c r="O1" s="105" t="s">
        <v>195</v>
      </c>
      <c r="P1" s="108" t="s">
        <v>196</v>
      </c>
      <c r="Q1" s="105" t="s">
        <v>197</v>
      </c>
      <c r="R1" s="108" t="s">
        <v>198</v>
      </c>
      <c r="S1" s="105" t="s">
        <v>203</v>
      </c>
      <c r="T1" s="127">
        <v>29000</v>
      </c>
    </row>
    <row r="2" spans="1:20" ht="16.5">
      <c r="A2" s="35" t="s">
        <v>221</v>
      </c>
      <c r="B2" s="123">
        <f t="shared" ref="B2:B9" si="0">+$B$10*H2</f>
        <v>0</v>
      </c>
      <c r="C2" s="36">
        <f t="shared" ref="C2:C9" si="1">+B2*(1-F2)</f>
        <v>0</v>
      </c>
      <c r="D2" s="36">
        <f t="shared" ref="D2:D9" si="2">+B2-C2</f>
        <v>0</v>
      </c>
      <c r="E2" s="37">
        <v>0.95</v>
      </c>
      <c r="F2" s="37">
        <f t="shared" ref="F2:F8" si="3">1-E2</f>
        <v>5.0000000000000044E-2</v>
      </c>
      <c r="G2" s="38"/>
      <c r="H2" s="107"/>
      <c r="I2" s="38">
        <v>1.3</v>
      </c>
      <c r="J2" s="124">
        <f t="shared" ref="J2:J8" si="4">+B2/I2</f>
        <v>0</v>
      </c>
      <c r="K2" s="36"/>
      <c r="L2" s="109">
        <f t="shared" ref="L2:L9" si="5">+K2*I2</f>
        <v>0</v>
      </c>
      <c r="M2" s="36">
        <f>+J2-K2</f>
        <v>0</v>
      </c>
      <c r="N2" s="109">
        <f t="shared" ref="N2:N9" si="6">+M2*I2</f>
        <v>0</v>
      </c>
      <c r="O2" s="36"/>
      <c r="P2" s="109">
        <f>+O2*I2</f>
        <v>0</v>
      </c>
      <c r="Q2" s="36"/>
      <c r="R2" s="109">
        <f>+I2*Q2</f>
        <v>0</v>
      </c>
      <c r="S2" s="125">
        <f>+B2*$T$2</f>
        <v>0</v>
      </c>
      <c r="T2" s="100">
        <f>+T1/C15</f>
        <v>981.0539205164323</v>
      </c>
    </row>
    <row r="3" spans="1:20" ht="16.5">
      <c r="A3" s="118" t="s">
        <v>223</v>
      </c>
      <c r="B3" s="123">
        <f t="shared" si="0"/>
        <v>0</v>
      </c>
      <c r="C3" s="36">
        <f t="shared" si="1"/>
        <v>0</v>
      </c>
      <c r="D3" s="36">
        <f t="shared" si="2"/>
        <v>0</v>
      </c>
      <c r="E3" s="37">
        <v>0.94</v>
      </c>
      <c r="F3" s="37">
        <f t="shared" si="3"/>
        <v>6.0000000000000053E-2</v>
      </c>
      <c r="G3" s="38">
        <v>175</v>
      </c>
      <c r="H3" s="107"/>
      <c r="I3" s="38">
        <v>1</v>
      </c>
      <c r="J3" s="124">
        <f t="shared" si="4"/>
        <v>0</v>
      </c>
      <c r="K3" s="36"/>
      <c r="L3" s="109">
        <f t="shared" si="5"/>
        <v>0</v>
      </c>
      <c r="M3" s="36">
        <f t="shared" ref="M3:M9" si="7">+J3-K3</f>
        <v>0</v>
      </c>
      <c r="N3" s="109">
        <f t="shared" si="6"/>
        <v>0</v>
      </c>
      <c r="O3" s="36"/>
      <c r="P3" s="109">
        <f t="shared" ref="P3:P9" si="8">+O3*I3</f>
        <v>0</v>
      </c>
      <c r="Q3" s="36"/>
      <c r="R3" s="109">
        <f t="shared" ref="R3:R9" si="9">+I3*Q3</f>
        <v>0</v>
      </c>
      <c r="S3" s="125">
        <f t="shared" ref="S3:S9" si="10">+B3*$T$2</f>
        <v>0</v>
      </c>
      <c r="T3" t="s">
        <v>204</v>
      </c>
    </row>
    <row r="4" spans="1:20" ht="16.5">
      <c r="A4" s="115" t="s">
        <v>10</v>
      </c>
      <c r="B4" s="123">
        <f t="shared" si="0"/>
        <v>16.5</v>
      </c>
      <c r="C4" s="36">
        <f t="shared" si="1"/>
        <v>14.52</v>
      </c>
      <c r="D4" s="36">
        <f t="shared" si="2"/>
        <v>1.9800000000000004</v>
      </c>
      <c r="E4" s="37">
        <v>0.88</v>
      </c>
      <c r="F4" s="37">
        <f t="shared" si="3"/>
        <v>0.12</v>
      </c>
      <c r="G4" s="38">
        <v>213.7</v>
      </c>
      <c r="H4" s="107">
        <v>0.5</v>
      </c>
      <c r="I4" s="38">
        <v>0.35</v>
      </c>
      <c r="J4" s="124">
        <f t="shared" si="4"/>
        <v>47.142857142857146</v>
      </c>
      <c r="K4" s="36">
        <v>17</v>
      </c>
      <c r="L4" s="109">
        <f t="shared" si="5"/>
        <v>5.9499999999999993</v>
      </c>
      <c r="M4" s="36">
        <v>11</v>
      </c>
      <c r="N4" s="109">
        <f t="shared" si="6"/>
        <v>3.8499999999999996</v>
      </c>
      <c r="O4" s="36">
        <v>11</v>
      </c>
      <c r="P4" s="109">
        <f t="shared" si="8"/>
        <v>3.8499999999999996</v>
      </c>
      <c r="Q4" s="36">
        <f>+J4-K4-M4-O4</f>
        <v>8.1428571428571459</v>
      </c>
      <c r="R4" s="109">
        <f t="shared" si="9"/>
        <v>2.850000000000001</v>
      </c>
      <c r="S4" s="125">
        <f t="shared" si="10"/>
        <v>16187.389688521132</v>
      </c>
    </row>
    <row r="5" spans="1:20" ht="16.5">
      <c r="A5" s="117" t="s">
        <v>222</v>
      </c>
      <c r="B5" s="123">
        <f t="shared" si="0"/>
        <v>7.92</v>
      </c>
      <c r="C5" s="36">
        <f t="shared" si="1"/>
        <v>7.7615999999999996</v>
      </c>
      <c r="D5" s="36">
        <f t="shared" si="2"/>
        <v>0.15840000000000032</v>
      </c>
      <c r="E5" s="37">
        <v>0.98</v>
      </c>
      <c r="F5" s="37">
        <f t="shared" si="3"/>
        <v>2.0000000000000018E-2</v>
      </c>
      <c r="G5" s="38">
        <v>175</v>
      </c>
      <c r="H5" s="107">
        <v>0.24</v>
      </c>
      <c r="I5" s="38">
        <v>1.1000000000000001</v>
      </c>
      <c r="J5" s="124">
        <f t="shared" si="4"/>
        <v>7.1999999999999993</v>
      </c>
      <c r="K5" s="36">
        <v>2.7</v>
      </c>
      <c r="L5" s="109">
        <f t="shared" si="5"/>
        <v>2.9700000000000006</v>
      </c>
      <c r="M5" s="36">
        <v>2.7</v>
      </c>
      <c r="N5" s="109">
        <f t="shared" si="6"/>
        <v>2.9700000000000006</v>
      </c>
      <c r="O5" s="36">
        <f>+J5-K5-M5</f>
        <v>1.7999999999999989</v>
      </c>
      <c r="P5" s="109">
        <f t="shared" si="8"/>
        <v>1.9799999999999991</v>
      </c>
      <c r="Q5" s="36"/>
      <c r="R5" s="109">
        <f t="shared" si="9"/>
        <v>0</v>
      </c>
      <c r="S5" s="125">
        <f t="shared" si="10"/>
        <v>7769.9470504901437</v>
      </c>
    </row>
    <row r="6" spans="1:20" ht="16.5">
      <c r="A6" s="119" t="s">
        <v>224</v>
      </c>
      <c r="B6" s="123">
        <f t="shared" si="0"/>
        <v>0.66</v>
      </c>
      <c r="C6" s="36">
        <f t="shared" si="1"/>
        <v>0.46199999999999997</v>
      </c>
      <c r="D6" s="36">
        <f t="shared" si="2"/>
        <v>0.19800000000000006</v>
      </c>
      <c r="E6" s="37">
        <v>0.7</v>
      </c>
      <c r="F6" s="37">
        <f t="shared" si="3"/>
        <v>0.30000000000000004</v>
      </c>
      <c r="G6" s="38">
        <v>58.9</v>
      </c>
      <c r="H6" s="107">
        <v>0.02</v>
      </c>
      <c r="I6" s="38">
        <v>1</v>
      </c>
      <c r="J6" s="124">
        <f t="shared" si="4"/>
        <v>0.66</v>
      </c>
      <c r="K6" s="36">
        <v>0</v>
      </c>
      <c r="L6" s="109">
        <f t="shared" si="5"/>
        <v>0</v>
      </c>
      <c r="M6" s="36"/>
      <c r="N6" s="109">
        <f t="shared" si="6"/>
        <v>0</v>
      </c>
      <c r="O6" s="36"/>
      <c r="P6" s="109">
        <f t="shared" si="8"/>
        <v>0</v>
      </c>
      <c r="Q6" s="36"/>
      <c r="R6" s="109">
        <f t="shared" si="9"/>
        <v>0</v>
      </c>
      <c r="S6" s="125">
        <f t="shared" si="10"/>
        <v>647.49558754084535</v>
      </c>
    </row>
    <row r="7" spans="1:20" ht="16.5">
      <c r="A7" s="120" t="s">
        <v>81</v>
      </c>
      <c r="B7" s="123">
        <f>+$B$10*H7</f>
        <v>5.9399999999999995</v>
      </c>
      <c r="C7" s="36">
        <f t="shared" si="1"/>
        <v>5.5241999999999996</v>
      </c>
      <c r="D7" s="36">
        <f t="shared" si="2"/>
        <v>0.41579999999999995</v>
      </c>
      <c r="E7" s="37">
        <v>0.93</v>
      </c>
      <c r="F7" s="37">
        <f t="shared" si="3"/>
        <v>6.9999999999999951E-2</v>
      </c>
      <c r="G7" s="38">
        <v>232.6</v>
      </c>
      <c r="H7" s="107">
        <v>0.18</v>
      </c>
      <c r="I7" s="38">
        <v>1</v>
      </c>
      <c r="J7" s="124">
        <f t="shared" si="4"/>
        <v>5.9399999999999995</v>
      </c>
      <c r="K7" s="36">
        <v>3</v>
      </c>
      <c r="L7" s="109">
        <f t="shared" si="5"/>
        <v>3</v>
      </c>
      <c r="M7" s="36">
        <f t="shared" si="7"/>
        <v>2.9399999999999995</v>
      </c>
      <c r="N7" s="109">
        <f t="shared" si="6"/>
        <v>2.9399999999999995</v>
      </c>
      <c r="O7" s="36"/>
      <c r="P7" s="109">
        <f t="shared" si="8"/>
        <v>0</v>
      </c>
      <c r="Q7" s="36"/>
      <c r="R7" s="109">
        <f t="shared" si="9"/>
        <v>0</v>
      </c>
      <c r="S7" s="125">
        <f t="shared" si="10"/>
        <v>5827.4602878676078</v>
      </c>
    </row>
    <row r="8" spans="1:20" ht="16.5">
      <c r="A8" s="116" t="s">
        <v>82</v>
      </c>
      <c r="B8" s="123">
        <f t="shared" si="0"/>
        <v>0</v>
      </c>
      <c r="C8" s="36">
        <f t="shared" si="1"/>
        <v>0</v>
      </c>
      <c r="D8" s="36">
        <f t="shared" si="2"/>
        <v>0</v>
      </c>
      <c r="E8" s="37">
        <v>0.95</v>
      </c>
      <c r="F8" s="37">
        <f t="shared" si="3"/>
        <v>5.0000000000000044E-2</v>
      </c>
      <c r="G8" s="38">
        <v>315</v>
      </c>
      <c r="H8" s="107"/>
      <c r="I8" s="38">
        <v>4</v>
      </c>
      <c r="J8" s="124">
        <f t="shared" si="4"/>
        <v>0</v>
      </c>
      <c r="K8" s="36">
        <v>0</v>
      </c>
      <c r="L8" s="109">
        <f t="shared" si="5"/>
        <v>0</v>
      </c>
      <c r="M8" s="36">
        <f t="shared" si="7"/>
        <v>0</v>
      </c>
      <c r="N8" s="109">
        <f t="shared" si="6"/>
        <v>0</v>
      </c>
      <c r="O8" s="36"/>
      <c r="P8" s="109">
        <f>+O8*I8</f>
        <v>0</v>
      </c>
      <c r="Q8" s="36"/>
      <c r="R8" s="109">
        <f t="shared" si="9"/>
        <v>0</v>
      </c>
      <c r="S8" s="125">
        <f t="shared" si="10"/>
        <v>0</v>
      </c>
    </row>
    <row r="9" spans="1:20" ht="16.5">
      <c r="A9" s="121" t="s">
        <v>83</v>
      </c>
      <c r="B9" s="123">
        <f t="shared" si="0"/>
        <v>1.98</v>
      </c>
      <c r="C9" s="36">
        <f t="shared" si="1"/>
        <v>1.7423999999999999</v>
      </c>
      <c r="D9" s="36">
        <f t="shared" si="2"/>
        <v>0.23760000000000003</v>
      </c>
      <c r="E9" s="37">
        <v>0.88</v>
      </c>
      <c r="F9" s="37">
        <f>1-E9</f>
        <v>0.12</v>
      </c>
      <c r="G9" s="38">
        <v>214.8</v>
      </c>
      <c r="H9" s="107">
        <v>0.06</v>
      </c>
      <c r="I9" s="38">
        <v>0.65</v>
      </c>
      <c r="J9" s="124">
        <f>+B9/I9</f>
        <v>3.046153846153846</v>
      </c>
      <c r="K9" s="36">
        <v>3</v>
      </c>
      <c r="L9" s="109">
        <f t="shared" si="5"/>
        <v>1.9500000000000002</v>
      </c>
      <c r="M9" s="36">
        <f t="shared" si="7"/>
        <v>4.615384615384599E-2</v>
      </c>
      <c r="N9" s="109">
        <f t="shared" si="6"/>
        <v>2.9999999999999895E-2</v>
      </c>
      <c r="O9" s="36"/>
      <c r="P9" s="109">
        <f t="shared" si="8"/>
        <v>0</v>
      </c>
      <c r="Q9" s="36"/>
      <c r="R9" s="109">
        <f t="shared" si="9"/>
        <v>0</v>
      </c>
      <c r="S9" s="125">
        <f t="shared" si="10"/>
        <v>1942.4867626225359</v>
      </c>
    </row>
    <row r="10" spans="1:20" ht="18">
      <c r="A10" s="32"/>
      <c r="B10" s="63">
        <v>33</v>
      </c>
      <c r="C10" s="32"/>
      <c r="D10" s="32"/>
      <c r="E10" s="32"/>
      <c r="F10" s="32"/>
      <c r="G10" s="32"/>
      <c r="H10" s="103">
        <f>SUM(H2:H9)</f>
        <v>1</v>
      </c>
      <c r="I10" s="143">
        <f>SUMPRODUCT(I2:I9,H2:H9)</f>
        <v>0.67800000000000005</v>
      </c>
      <c r="J10" s="104">
        <f>SUM(J2:J9)</f>
        <v>63.989010989010978</v>
      </c>
      <c r="K10" s="106">
        <f t="shared" ref="K10:R10" si="11">SUM(K2:K9)</f>
        <v>25.7</v>
      </c>
      <c r="L10" s="110">
        <f t="shared" si="11"/>
        <v>13.870000000000001</v>
      </c>
      <c r="M10" s="106">
        <f t="shared" si="11"/>
        <v>16.686153846153847</v>
      </c>
      <c r="N10" s="110">
        <f t="shared" si="11"/>
        <v>9.7899999999999991</v>
      </c>
      <c r="O10" s="106">
        <f t="shared" si="11"/>
        <v>12.799999999999999</v>
      </c>
      <c r="P10" s="110">
        <f t="shared" si="11"/>
        <v>5.8299999999999983</v>
      </c>
      <c r="Q10" s="106">
        <f t="shared" si="11"/>
        <v>8.1428571428571459</v>
      </c>
      <c r="R10" s="110">
        <f t="shared" si="11"/>
        <v>2.850000000000001</v>
      </c>
      <c r="S10" s="145">
        <f>+B10*$T$2</f>
        <v>32374.779377042265</v>
      </c>
    </row>
    <row r="11" spans="1:20">
      <c r="A11" s="32" t="s">
        <v>2</v>
      </c>
      <c r="B11" s="38">
        <f>SUM(B2:B9)</f>
        <v>33</v>
      </c>
      <c r="C11" s="36">
        <f>SUM(C2:C9)</f>
        <v>30.010199999999998</v>
      </c>
      <c r="D11" s="36">
        <f>SUM(D2:D9)</f>
        <v>2.9898000000000007</v>
      </c>
      <c r="E11" s="36"/>
      <c r="F11" s="43" t="s">
        <v>57</v>
      </c>
      <c r="G11" s="44">
        <f>+SUMPRODUCT(B2:B9,G2:G9)/C11/E15</f>
        <v>228.61506275683527</v>
      </c>
      <c r="H11" s="35"/>
      <c r="J11" s="113" t="s">
        <v>235</v>
      </c>
      <c r="K11" s="104">
        <f>+B18*0.95</f>
        <v>26.599999999999998</v>
      </c>
      <c r="M11" s="104">
        <f>+K11</f>
        <v>26.599999999999998</v>
      </c>
      <c r="O11" s="104">
        <f>+M11</f>
        <v>26.599999999999998</v>
      </c>
      <c r="Q11" s="104">
        <f>+O11</f>
        <v>26.599999999999998</v>
      </c>
    </row>
    <row r="12" spans="1:20">
      <c r="F12" s="129" t="s">
        <v>206</v>
      </c>
      <c r="G12" s="130">
        <v>130</v>
      </c>
      <c r="I12" s="3">
        <f>+B18*0.9*I10</f>
        <v>17.085599999999999</v>
      </c>
      <c r="J12" s="113" t="s">
        <v>202</v>
      </c>
      <c r="L12" s="1"/>
      <c r="M12" s="114">
        <f>+B17*0.95-L13</f>
        <v>25.804285714285715</v>
      </c>
      <c r="N12" s="1"/>
      <c r="O12" s="114">
        <f>+M12-N13</f>
        <v>21.71</v>
      </c>
      <c r="P12" s="1"/>
      <c r="Q12" s="114">
        <f>+O12-P13</f>
        <v>16.782857142857143</v>
      </c>
      <c r="R12" s="1"/>
    </row>
    <row r="13" spans="1:20">
      <c r="F13" s="131" t="s">
        <v>207</v>
      </c>
      <c r="G13" s="132">
        <f>+G11+G12</f>
        <v>358.6150627568353</v>
      </c>
      <c r="J13" s="111" t="s">
        <v>201</v>
      </c>
      <c r="K13" s="111"/>
      <c r="L13" s="112">
        <f>(L10+B16)/7</f>
        <v>2.6957142857142857</v>
      </c>
      <c r="M13" s="1"/>
      <c r="N13" s="112">
        <f>+N10/7+L13</f>
        <v>4.0942857142857143</v>
      </c>
      <c r="P13" s="112">
        <f>+P10/7+N13</f>
        <v>4.927142857142857</v>
      </c>
      <c r="R13" s="112" t="s">
        <v>213</v>
      </c>
      <c r="S13" s="126">
        <f>SUM(S2:S6,S9)</f>
        <v>26547.319089174656</v>
      </c>
    </row>
    <row r="15" spans="1:20">
      <c r="C15" s="36">
        <f>+C11*E15</f>
        <v>29.560046999999997</v>
      </c>
      <c r="D15" t="s">
        <v>208</v>
      </c>
      <c r="E15" s="128">
        <v>0.98499999999999999</v>
      </c>
      <c r="T15" s="125">
        <f>+T1*11+15000</f>
        <v>334000</v>
      </c>
    </row>
    <row r="16" spans="1:20">
      <c r="A16" s="122" t="s">
        <v>199</v>
      </c>
      <c r="B16" s="36">
        <v>5</v>
      </c>
      <c r="C16" s="36" t="s">
        <v>200</v>
      </c>
      <c r="D16" t="s">
        <v>205</v>
      </c>
      <c r="E16" s="128">
        <f>SUMPRODUCT(B2:B9,E2:E9)/B10</f>
        <v>0.90939999999999988</v>
      </c>
    </row>
    <row r="17" spans="1:5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0.89575899999999986</v>
      </c>
    </row>
    <row r="18" spans="1:5">
      <c r="A18" s="122" t="s">
        <v>186</v>
      </c>
      <c r="B18" s="36">
        <v>28</v>
      </c>
      <c r="C18" s="36" t="s">
        <v>187</v>
      </c>
    </row>
    <row r="19" spans="1:5">
      <c r="A19" s="36" t="s">
        <v>4</v>
      </c>
      <c r="B19" s="107">
        <v>0.87</v>
      </c>
      <c r="C19" s="36" t="s">
        <v>194</v>
      </c>
      <c r="D19" s="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Composicion</vt:lpstr>
      <vt:lpstr>PPC</vt:lpstr>
      <vt:lpstr>Horno Eléctrico</vt:lpstr>
      <vt:lpstr>Horno Cuchara</vt:lpstr>
      <vt:lpstr>Colada Continua</vt:lpstr>
      <vt:lpstr>Hoja3</vt:lpstr>
      <vt:lpstr>Hoja2</vt:lpstr>
      <vt:lpstr>Hoja1</vt:lpstr>
      <vt:lpstr>Mix tentativo</vt:lpstr>
    </vt:vector>
  </TitlesOfParts>
  <Company>Gerdau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 de Windows</cp:lastModifiedBy>
  <cp:lastPrinted>2016-10-04T14:23:11Z</cp:lastPrinted>
  <dcterms:created xsi:type="dcterms:W3CDTF">2011-06-16T15:17:26Z</dcterms:created>
  <dcterms:modified xsi:type="dcterms:W3CDTF">2021-02-18T01:17:03Z</dcterms:modified>
</cp:coreProperties>
</file>