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drigo\Documents\SIDER\Scrap Optimization\"/>
    </mc:Choice>
  </mc:AlternateContent>
  <xr:revisionPtr revIDLastSave="0" documentId="13_ncr:1_{A7F4E58C-CF2C-4667-91EA-4A6DF3C0DBB3}" xr6:coauthVersionLast="46" xr6:coauthVersionMax="46" xr10:uidLastSave="{00000000-0000-0000-0000-000000000000}"/>
  <bookViews>
    <workbookView xWindow="1428" yWindow="1428" windowWidth="17280" windowHeight="8964" activeTab="2" xr2:uid="{00000000-000D-0000-FFFF-FFFF00000000}"/>
  </bookViews>
  <sheets>
    <sheet name="PPC" sheetId="5" r:id="rId1"/>
    <sheet name="Inventario" sheetId="9" r:id="rId2"/>
    <sheet name="Constrains" sheetId="11" r:id="rId3"/>
    <sheet name="Horno Eléctrico" sheetId="1" r:id="rId4"/>
    <sheet name="Horno Cuchara" sheetId="2" r:id="rId5"/>
    <sheet name="Colada Continua" sheetId="4" r:id="rId6"/>
    <sheet name="Hoja3" sheetId="3" r:id="rId7"/>
    <sheet name="Hoja1" sheetId="6" r:id="rId8"/>
    <sheet name="Mix tentativo" sheetId="7" r:id="rId9"/>
    <sheet name="Hoja2" sheetId="8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2" i="5" l="1"/>
  <c r="K10" i="5"/>
  <c r="T14" i="5"/>
  <c r="W10" i="5"/>
  <c r="L2" i="5"/>
  <c r="B2" i="5"/>
  <c r="I2" i="5" l="1"/>
  <c r="V19" i="5" l="1"/>
  <c r="B34" i="1" l="1"/>
  <c r="B30" i="1"/>
  <c r="AE19" i="5"/>
  <c r="AA19" i="5"/>
  <c r="M11" i="5" l="1"/>
  <c r="F8" i="5" l="1"/>
  <c r="F7" i="5"/>
  <c r="F6" i="5"/>
  <c r="F5" i="5"/>
  <c r="F4" i="5"/>
  <c r="F2" i="5"/>
  <c r="G17" i="5" l="1"/>
  <c r="I13" i="5"/>
  <c r="H13" i="5" s="1"/>
  <c r="B28" i="1" l="1"/>
  <c r="B29" i="1"/>
  <c r="V5" i="5" l="1"/>
  <c r="V6" i="5"/>
  <c r="V7" i="5"/>
  <c r="V8" i="5"/>
  <c r="V9" i="5"/>
  <c r="Q31" i="5" l="1"/>
  <c r="I9" i="5" l="1"/>
  <c r="I7" i="5"/>
  <c r="I6" i="5"/>
  <c r="I5" i="5"/>
  <c r="I4" i="5"/>
  <c r="N6" i="5" l="1"/>
  <c r="B9" i="5" l="1"/>
  <c r="L9" i="5" s="1"/>
  <c r="I3" i="5" l="1"/>
  <c r="I8" i="5"/>
  <c r="I10" i="5" l="1"/>
  <c r="I11" i="5" s="1"/>
  <c r="B4" i="5"/>
  <c r="L4" i="5" l="1"/>
  <c r="Q4" i="5" s="1"/>
  <c r="F25" i="5"/>
  <c r="O27" i="5" s="1"/>
  <c r="O29" i="5" s="1"/>
  <c r="Q29" i="5" s="1"/>
  <c r="D91" i="1"/>
  <c r="E91" i="1"/>
  <c r="F91" i="1"/>
  <c r="B91" i="1"/>
  <c r="C91" i="1"/>
  <c r="O32" i="5" l="1"/>
  <c r="Q32" i="5" s="1"/>
  <c r="Q36" i="5" s="1"/>
  <c r="F27" i="5"/>
  <c r="D115" i="8"/>
  <c r="E112" i="8" s="1"/>
  <c r="E107" i="8"/>
  <c r="B107" i="8"/>
  <c r="E106" i="8"/>
  <c r="B105" i="8"/>
  <c r="B103" i="8"/>
  <c r="B102" i="8"/>
  <c r="B101" i="8"/>
  <c r="B100" i="8"/>
  <c r="B99" i="8"/>
  <c r="B98" i="8"/>
  <c r="B77" i="8"/>
  <c r="J77" i="8" s="1"/>
  <c r="K76" i="8"/>
  <c r="I76" i="8"/>
  <c r="B76" i="8"/>
  <c r="J76" i="8" s="1"/>
  <c r="B75" i="8"/>
  <c r="H75" i="8" s="1"/>
  <c r="E54" i="8"/>
  <c r="G52" i="8"/>
  <c r="E52" i="8"/>
  <c r="I47" i="8"/>
  <c r="B39" i="8"/>
  <c r="B35" i="8"/>
  <c r="E34" i="8"/>
  <c r="G34" i="8" s="1"/>
  <c r="G35" i="8" s="1"/>
  <c r="I35" i="8" s="1"/>
  <c r="B34" i="8"/>
  <c r="N32" i="8"/>
  <c r="B30" i="8"/>
  <c r="E29" i="8"/>
  <c r="G29" i="8" s="1"/>
  <c r="G30" i="8" s="1"/>
  <c r="B29" i="8"/>
  <c r="B28" i="8"/>
  <c r="B31" i="8" s="1"/>
  <c r="I27" i="8"/>
  <c r="E24" i="8"/>
  <c r="G24" i="8" s="1"/>
  <c r="G25" i="8" s="1"/>
  <c r="I22" i="8"/>
  <c r="I17" i="8"/>
  <c r="G19" i="8" s="1"/>
  <c r="G20" i="8" s="1"/>
  <c r="H9" i="8"/>
  <c r="B9" i="8" s="1"/>
  <c r="E9" i="8"/>
  <c r="F9" i="8" s="1"/>
  <c r="A9" i="8"/>
  <c r="H8" i="8"/>
  <c r="B8" i="8" s="1"/>
  <c r="E8" i="8"/>
  <c r="F8" i="8" s="1"/>
  <c r="A8" i="8"/>
  <c r="H7" i="8"/>
  <c r="B7" i="8" s="1"/>
  <c r="E7" i="8"/>
  <c r="F7" i="8" s="1"/>
  <c r="A7" i="8"/>
  <c r="H6" i="8"/>
  <c r="B6" i="8" s="1"/>
  <c r="G6" i="8"/>
  <c r="E6" i="8"/>
  <c r="F6" i="8" s="1"/>
  <c r="A6" i="8"/>
  <c r="H5" i="8"/>
  <c r="B5" i="8" s="1"/>
  <c r="G5" i="8"/>
  <c r="E5" i="8"/>
  <c r="F5" i="8" s="1"/>
  <c r="A5" i="8"/>
  <c r="H4" i="8"/>
  <c r="B4" i="8" s="1"/>
  <c r="G4" i="8"/>
  <c r="E4" i="8"/>
  <c r="F4" i="8" s="1"/>
  <c r="A4" i="8"/>
  <c r="H3" i="8"/>
  <c r="B3" i="8" s="1"/>
  <c r="G3" i="8"/>
  <c r="E3" i="8"/>
  <c r="F3" i="8" s="1"/>
  <c r="A3" i="8"/>
  <c r="H2" i="8"/>
  <c r="B2" i="8" s="1"/>
  <c r="G2" i="8"/>
  <c r="E2" i="8"/>
  <c r="F2" i="8" s="1"/>
  <c r="A2" i="8"/>
  <c r="E34" i="1"/>
  <c r="G34" i="1" s="1"/>
  <c r="G35" i="1" s="1"/>
  <c r="E4" i="1"/>
  <c r="F4" i="1" s="1"/>
  <c r="B39" i="1"/>
  <c r="X15" i="5"/>
  <c r="K12" i="5"/>
  <c r="I52" i="8" l="1"/>
  <c r="C75" i="8"/>
  <c r="L75" i="8" s="1"/>
  <c r="K75" i="8"/>
  <c r="C76" i="8"/>
  <c r="L76" i="8" s="1"/>
  <c r="D76" i="8"/>
  <c r="E76" i="8"/>
  <c r="G75" i="8"/>
  <c r="H76" i="8"/>
  <c r="H27" i="5"/>
  <c r="V18" i="5"/>
  <c r="B108" i="8"/>
  <c r="B36" i="8"/>
  <c r="G54" i="8"/>
  <c r="G55" i="8" s="1"/>
  <c r="E77" i="8"/>
  <c r="I77" i="8"/>
  <c r="C5" i="8"/>
  <c r="D5" i="8" s="1"/>
  <c r="B70" i="8" s="1"/>
  <c r="G70" i="8" s="1"/>
  <c r="D77" i="8"/>
  <c r="C8" i="8"/>
  <c r="D8" i="8" s="1"/>
  <c r="B73" i="8" s="1"/>
  <c r="I73" i="8" s="1"/>
  <c r="G76" i="8"/>
  <c r="H77" i="8"/>
  <c r="C3" i="8"/>
  <c r="D3" i="8" s="1"/>
  <c r="B68" i="8" s="1"/>
  <c r="C6" i="8"/>
  <c r="D6" i="8" s="1"/>
  <c r="B71" i="8" s="1"/>
  <c r="B14" i="8"/>
  <c r="C2" i="8"/>
  <c r="D2" i="8" s="1"/>
  <c r="C4" i="8"/>
  <c r="D4" i="8" s="1"/>
  <c r="B69" i="8" s="1"/>
  <c r="C7" i="8"/>
  <c r="D7" i="8" s="1"/>
  <c r="B72" i="8" s="1"/>
  <c r="C9" i="8"/>
  <c r="D9" i="8" s="1"/>
  <c r="B74" i="8" s="1"/>
  <c r="F75" i="8"/>
  <c r="J75" i="8"/>
  <c r="E114" i="8"/>
  <c r="E19" i="8"/>
  <c r="E75" i="8"/>
  <c r="I75" i="8"/>
  <c r="F76" i="8"/>
  <c r="C77" i="8"/>
  <c r="L77" i="8" s="1"/>
  <c r="G77" i="8"/>
  <c r="K77" i="8"/>
  <c r="E113" i="8"/>
  <c r="D75" i="8"/>
  <c r="F77" i="8"/>
  <c r="T15" i="7"/>
  <c r="K11" i="7"/>
  <c r="M11" i="7" s="1"/>
  <c r="O11" i="7" s="1"/>
  <c r="Q11" i="7" s="1"/>
  <c r="K10" i="7"/>
  <c r="I10" i="7"/>
  <c r="I12" i="7" s="1"/>
  <c r="H10" i="7"/>
  <c r="R9" i="7"/>
  <c r="P9" i="7"/>
  <c r="L9" i="7"/>
  <c r="F9" i="7"/>
  <c r="B9" i="7"/>
  <c r="J9" i="7" s="1"/>
  <c r="M9" i="7" s="1"/>
  <c r="N9" i="7" s="1"/>
  <c r="R8" i="7"/>
  <c r="P8" i="7"/>
  <c r="L8" i="7"/>
  <c r="F8" i="7"/>
  <c r="B8" i="7"/>
  <c r="J8" i="7" s="1"/>
  <c r="M8" i="7" s="1"/>
  <c r="N8" i="7" s="1"/>
  <c r="R7" i="7"/>
  <c r="P7" i="7"/>
  <c r="L7" i="7"/>
  <c r="F7" i="7"/>
  <c r="B7" i="7"/>
  <c r="C7" i="7" s="1"/>
  <c r="R6" i="7"/>
  <c r="P6" i="7"/>
  <c r="N6" i="7"/>
  <c r="L6" i="7"/>
  <c r="F6" i="7"/>
  <c r="B6" i="7"/>
  <c r="J6" i="7" s="1"/>
  <c r="R5" i="7"/>
  <c r="N5" i="7"/>
  <c r="L5" i="7"/>
  <c r="F5" i="7"/>
  <c r="B5" i="7"/>
  <c r="J5" i="7" s="1"/>
  <c r="O5" i="7" s="1"/>
  <c r="P4" i="7"/>
  <c r="N4" i="7"/>
  <c r="L4" i="7"/>
  <c r="F4" i="7"/>
  <c r="B4" i="7"/>
  <c r="C4" i="7" s="1"/>
  <c r="R3" i="7"/>
  <c r="P3" i="7"/>
  <c r="L3" i="7"/>
  <c r="F3" i="7"/>
  <c r="B3" i="7"/>
  <c r="C3" i="7" s="1"/>
  <c r="R2" i="7"/>
  <c r="P2" i="7"/>
  <c r="L2" i="7"/>
  <c r="F2" i="7"/>
  <c r="B2" i="7"/>
  <c r="I54" i="8" l="1"/>
  <c r="C2" i="7"/>
  <c r="C8" i="7"/>
  <c r="D8" i="7" s="1"/>
  <c r="H73" i="8"/>
  <c r="C73" i="8"/>
  <c r="L73" i="8" s="1"/>
  <c r="J70" i="8"/>
  <c r="I70" i="8"/>
  <c r="E68" i="8"/>
  <c r="K68" i="8"/>
  <c r="L10" i="7"/>
  <c r="L13" i="7" s="1"/>
  <c r="M12" i="7" s="1"/>
  <c r="C5" i="7"/>
  <c r="D5" i="7" s="1"/>
  <c r="G73" i="8"/>
  <c r="F73" i="8"/>
  <c r="E73" i="8"/>
  <c r="K73" i="8"/>
  <c r="J73" i="8"/>
  <c r="D73" i="8"/>
  <c r="F70" i="8"/>
  <c r="G68" i="8"/>
  <c r="D70" i="8"/>
  <c r="K70" i="8"/>
  <c r="E70" i="8"/>
  <c r="C70" i="8"/>
  <c r="L70" i="8" s="1"/>
  <c r="H70" i="8"/>
  <c r="C68" i="8"/>
  <c r="L68" i="8" s="1"/>
  <c r="D68" i="8"/>
  <c r="H68" i="8"/>
  <c r="J68" i="8"/>
  <c r="I68" i="8"/>
  <c r="F68" i="8"/>
  <c r="I72" i="8"/>
  <c r="E72" i="8"/>
  <c r="K72" i="8"/>
  <c r="C72" i="8"/>
  <c r="L72" i="8" s="1"/>
  <c r="D72" i="8"/>
  <c r="J72" i="8"/>
  <c r="F72" i="8"/>
  <c r="G72" i="8"/>
  <c r="H72" i="8"/>
  <c r="K74" i="8"/>
  <c r="G74" i="8"/>
  <c r="C74" i="8"/>
  <c r="L74" i="8" s="1"/>
  <c r="I74" i="8"/>
  <c r="E74" i="8"/>
  <c r="J74" i="8"/>
  <c r="F74" i="8"/>
  <c r="H74" i="8"/>
  <c r="D74" i="8"/>
  <c r="J69" i="8"/>
  <c r="F69" i="8"/>
  <c r="D69" i="8"/>
  <c r="K69" i="8"/>
  <c r="G69" i="8"/>
  <c r="C69" i="8"/>
  <c r="L69" i="8" s="1"/>
  <c r="H69" i="8"/>
  <c r="I69" i="8"/>
  <c r="E69" i="8"/>
  <c r="E49" i="8"/>
  <c r="G49" i="8" s="1"/>
  <c r="B67" i="8"/>
  <c r="D14" i="8"/>
  <c r="B16" i="8" s="1"/>
  <c r="H71" i="8"/>
  <c r="D71" i="8"/>
  <c r="F71" i="8"/>
  <c r="G71" i="8"/>
  <c r="I71" i="8"/>
  <c r="E71" i="8"/>
  <c r="J71" i="8"/>
  <c r="K71" i="8"/>
  <c r="C71" i="8"/>
  <c r="L71" i="8" s="1"/>
  <c r="P5" i="7"/>
  <c r="P10" i="7" s="1"/>
  <c r="O10" i="7"/>
  <c r="J3" i="7"/>
  <c r="M3" i="7" s="1"/>
  <c r="N3" i="7" s="1"/>
  <c r="B11" i="7"/>
  <c r="J4" i="7"/>
  <c r="Q4" i="7" s="1"/>
  <c r="J7" i="7"/>
  <c r="M7" i="7" s="1"/>
  <c r="N7" i="7" s="1"/>
  <c r="E16" i="7"/>
  <c r="E17" i="7" s="1"/>
  <c r="D2" i="7"/>
  <c r="D3" i="7"/>
  <c r="C6" i="7"/>
  <c r="D6" i="7" s="1"/>
  <c r="C9" i="7"/>
  <c r="D9" i="7" s="1"/>
  <c r="J2" i="7"/>
  <c r="D4" i="7"/>
  <c r="D7" i="7"/>
  <c r="O11" i="5"/>
  <c r="Q11" i="5" s="1"/>
  <c r="T5" i="5"/>
  <c r="T6" i="5"/>
  <c r="T7" i="5"/>
  <c r="T8" i="5"/>
  <c r="T9" i="5"/>
  <c r="G50" i="8" l="1"/>
  <c r="I49" i="8"/>
  <c r="H67" i="8"/>
  <c r="H78" i="8" s="1"/>
  <c r="B21" i="8" s="1"/>
  <c r="D67" i="8"/>
  <c r="D78" i="8" s="1"/>
  <c r="B19" i="8" s="1"/>
  <c r="M2" i="8" s="1"/>
  <c r="J67" i="8"/>
  <c r="J78" i="8" s="1"/>
  <c r="B24" i="8" s="1"/>
  <c r="M7" i="8" s="1"/>
  <c r="K67" i="8"/>
  <c r="K78" i="8" s="1"/>
  <c r="B22" i="8" s="1"/>
  <c r="B40" i="8" s="1"/>
  <c r="C67" i="8"/>
  <c r="I67" i="8"/>
  <c r="I78" i="8" s="1"/>
  <c r="B23" i="8" s="1"/>
  <c r="E67" i="8"/>
  <c r="E78" i="8" s="1"/>
  <c r="B20" i="8" s="1"/>
  <c r="M5" i="8" s="1"/>
  <c r="F67" i="8"/>
  <c r="F78" i="8" s="1"/>
  <c r="B18" i="8" s="1"/>
  <c r="M4" i="8" s="1"/>
  <c r="B78" i="8"/>
  <c r="G67" i="8"/>
  <c r="G78" i="8" s="1"/>
  <c r="B17" i="8" s="1"/>
  <c r="J10" i="7"/>
  <c r="M2" i="7"/>
  <c r="C11" i="7"/>
  <c r="Q10" i="7"/>
  <c r="R4" i="7"/>
  <c r="R10" i="7" s="1"/>
  <c r="D11" i="7"/>
  <c r="N32" i="1"/>
  <c r="E3" i="1"/>
  <c r="F3" i="1" s="1"/>
  <c r="E5" i="1"/>
  <c r="F5" i="1" s="1"/>
  <c r="E6" i="1"/>
  <c r="F6" i="1" s="1"/>
  <c r="E7" i="1"/>
  <c r="F7" i="1" s="1"/>
  <c r="E8" i="1"/>
  <c r="F8" i="1" s="1"/>
  <c r="E9" i="1"/>
  <c r="F9" i="1" s="1"/>
  <c r="H4" i="1"/>
  <c r="B4" i="1" s="1"/>
  <c r="C4" i="1" s="1"/>
  <c r="H5" i="1"/>
  <c r="B5" i="1" s="1"/>
  <c r="H6" i="1"/>
  <c r="B6" i="1" s="1"/>
  <c r="H7" i="1"/>
  <c r="B7" i="1" s="1"/>
  <c r="H8" i="1"/>
  <c r="B8" i="1" s="1"/>
  <c r="H9" i="1"/>
  <c r="B9" i="1" s="1"/>
  <c r="A9" i="1"/>
  <c r="A8" i="1"/>
  <c r="A7" i="1"/>
  <c r="A6" i="1"/>
  <c r="A5" i="1"/>
  <c r="A4" i="1"/>
  <c r="A3" i="1"/>
  <c r="A2" i="1"/>
  <c r="J10" i="5"/>
  <c r="D44" i="2"/>
  <c r="F44" i="2" s="1"/>
  <c r="D40" i="2"/>
  <c r="F42" i="2"/>
  <c r="C8" i="1" l="1"/>
  <c r="C7" i="1"/>
  <c r="C5" i="1"/>
  <c r="C9" i="1"/>
  <c r="C6" i="1"/>
  <c r="C78" i="8"/>
  <c r="C14" i="8" s="1"/>
  <c r="L67" i="8"/>
  <c r="L78" i="8" s="1"/>
  <c r="B25" i="8"/>
  <c r="M3" i="8"/>
  <c r="V33" i="8" s="1"/>
  <c r="C15" i="7"/>
  <c r="T2" i="7" s="1"/>
  <c r="G11" i="7"/>
  <c r="G13" i="7" s="1"/>
  <c r="M10" i="7"/>
  <c r="N2" i="7"/>
  <c r="N10" i="7" s="1"/>
  <c r="N13" i="7" s="1"/>
  <c r="H42" i="2"/>
  <c r="H44" i="2" s="1"/>
  <c r="J42" i="2"/>
  <c r="J44" i="2" s="1"/>
  <c r="L40" i="2"/>
  <c r="H40" i="2"/>
  <c r="L38" i="2"/>
  <c r="J38" i="2"/>
  <c r="J40" i="2" s="1"/>
  <c r="F38" i="2"/>
  <c r="F40" i="2" s="1"/>
  <c r="I35" i="2" s="1"/>
  <c r="E20" i="2"/>
  <c r="E15" i="2"/>
  <c r="P2" i="8" l="1"/>
  <c r="N13" i="8" s="1"/>
  <c r="V35" i="8"/>
  <c r="V34" i="8"/>
  <c r="S10" i="7"/>
  <c r="S9" i="7"/>
  <c r="S8" i="7"/>
  <c r="S5" i="7"/>
  <c r="S7" i="7"/>
  <c r="S4" i="7"/>
  <c r="S2" i="7"/>
  <c r="S6" i="7"/>
  <c r="S3" i="7"/>
  <c r="O12" i="7"/>
  <c r="P13" i="7"/>
  <c r="E54" i="1"/>
  <c r="S13" i="7" l="1"/>
  <c r="Q12" i="7"/>
  <c r="G6" i="1"/>
  <c r="G5" i="1"/>
  <c r="G4" i="1"/>
  <c r="G3" i="1"/>
  <c r="G2" i="1"/>
  <c r="H1" i="6" l="1"/>
  <c r="D1" i="6"/>
  <c r="D2" i="6" s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" i="6"/>
  <c r="E1" i="6"/>
  <c r="C3" i="6" s="1"/>
  <c r="B35" i="6" l="1"/>
  <c r="D3" i="6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C4" i="6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5" i="6" l="1"/>
  <c r="E2" i="1"/>
  <c r="F2" i="1" s="1"/>
  <c r="H3" i="1"/>
  <c r="B3" i="1" s="1"/>
  <c r="C3" i="1" s="1"/>
  <c r="H2" i="1"/>
  <c r="B2" i="1" s="1"/>
  <c r="C2" i="1" l="1"/>
  <c r="D3" i="1"/>
  <c r="B68" i="1" s="1"/>
  <c r="D68" i="1" l="1"/>
  <c r="C68" i="1"/>
  <c r="S11" i="5"/>
  <c r="U11" i="5" s="1"/>
  <c r="B7" i="5"/>
  <c r="D101" i="8"/>
  <c r="E101" i="8" s="1"/>
  <c r="B8" i="5"/>
  <c r="L8" i="5" s="1"/>
  <c r="B6" i="5"/>
  <c r="B5" i="5"/>
  <c r="L5" i="5" s="1"/>
  <c r="N5" i="5" s="1"/>
  <c r="L7" i="5" l="1"/>
  <c r="O7" i="5" s="1"/>
  <c r="D105" i="8"/>
  <c r="E105" i="8" s="1"/>
  <c r="L6" i="5"/>
  <c r="D102" i="8"/>
  <c r="E102" i="8" s="1"/>
  <c r="C7" i="5"/>
  <c r="D100" i="8"/>
  <c r="E100" i="8" s="1"/>
  <c r="N8" i="5"/>
  <c r="D104" i="8"/>
  <c r="E104" i="8" s="1"/>
  <c r="N9" i="5"/>
  <c r="D99" i="8"/>
  <c r="N7" i="5"/>
  <c r="D97" i="1"/>
  <c r="D101" i="1"/>
  <c r="D96" i="1"/>
  <c r="D99" i="1"/>
  <c r="D98" i="1"/>
  <c r="E98" i="1" s="1"/>
  <c r="D102" i="1"/>
  <c r="N4" i="5"/>
  <c r="Q2" i="5"/>
  <c r="F9" i="5"/>
  <c r="C9" i="5" s="1"/>
  <c r="C6" i="5"/>
  <c r="C5" i="5"/>
  <c r="C4" i="5"/>
  <c r="F3" i="5"/>
  <c r="B3" i="5"/>
  <c r="L3" i="5" s="1"/>
  <c r="M3" i="5" s="1"/>
  <c r="N3" i="5" s="1"/>
  <c r="B95" i="1"/>
  <c r="B100" i="1"/>
  <c r="B99" i="1"/>
  <c r="B98" i="1"/>
  <c r="B97" i="1"/>
  <c r="B96" i="1"/>
  <c r="H95" i="3"/>
  <c r="C85" i="3"/>
  <c r="C84" i="3"/>
  <c r="C83" i="3"/>
  <c r="D83" i="3" s="1"/>
  <c r="F92" i="3"/>
  <c r="C92" i="3" s="1"/>
  <c r="F91" i="3"/>
  <c r="B91" i="3"/>
  <c r="F90" i="3"/>
  <c r="C90" i="3" s="1"/>
  <c r="F89" i="3"/>
  <c r="B89" i="3"/>
  <c r="C89" i="3" s="1"/>
  <c r="F88" i="3"/>
  <c r="B88" i="3"/>
  <c r="F87" i="3"/>
  <c r="B87" i="3"/>
  <c r="F86" i="3"/>
  <c r="F85" i="3"/>
  <c r="F84" i="3"/>
  <c r="F83" i="3"/>
  <c r="F82" i="3"/>
  <c r="I33" i="2"/>
  <c r="E35" i="2" s="1"/>
  <c r="L23" i="2"/>
  <c r="L22" i="2"/>
  <c r="B11" i="5" l="1"/>
  <c r="L10" i="5"/>
  <c r="S4" i="5"/>
  <c r="P4" i="5"/>
  <c r="C2" i="5"/>
  <c r="V4" i="5"/>
  <c r="G35" i="2"/>
  <c r="G36" i="2" s="1"/>
  <c r="C88" i="3"/>
  <c r="D88" i="3" s="1"/>
  <c r="D90" i="3"/>
  <c r="C82" i="3"/>
  <c r="D82" i="3" s="1"/>
  <c r="C86" i="3"/>
  <c r="D86" i="3" s="1"/>
  <c r="D103" i="8"/>
  <c r="E103" i="8" s="1"/>
  <c r="D98" i="8"/>
  <c r="E98" i="8" s="1"/>
  <c r="E99" i="8"/>
  <c r="AD11" i="5"/>
  <c r="O42" i="1" s="1"/>
  <c r="AF11" i="5"/>
  <c r="Q42" i="1" s="1"/>
  <c r="AH11" i="5"/>
  <c r="S42" i="1" s="1"/>
  <c r="AA11" i="5"/>
  <c r="L42" i="1" s="1"/>
  <c r="AC11" i="5"/>
  <c r="AE11" i="5"/>
  <c r="P42" i="1" s="1"/>
  <c r="AG11" i="5"/>
  <c r="R42" i="1" s="1"/>
  <c r="AI11" i="5"/>
  <c r="T42" i="1" s="1"/>
  <c r="AB11" i="5"/>
  <c r="M42" i="1" s="1"/>
  <c r="C3" i="5"/>
  <c r="P6" i="5"/>
  <c r="R8" i="5"/>
  <c r="D100" i="1"/>
  <c r="D95" i="1"/>
  <c r="E95" i="1" s="1"/>
  <c r="D6" i="5"/>
  <c r="C8" i="5"/>
  <c r="D4" i="5"/>
  <c r="D9" i="5"/>
  <c r="D7" i="5"/>
  <c r="D5" i="5"/>
  <c r="B93" i="3"/>
  <c r="H94" i="3" s="1"/>
  <c r="C87" i="3"/>
  <c r="C91" i="3"/>
  <c r="D91" i="3" s="1"/>
  <c r="D85" i="3"/>
  <c r="D89" i="3"/>
  <c r="D84" i="3"/>
  <c r="D92" i="3"/>
  <c r="C11" i="5" l="1"/>
  <c r="C12" i="5" s="1"/>
  <c r="V20" i="5"/>
  <c r="W20" i="5" s="1"/>
  <c r="S3" i="5"/>
  <c r="T3" i="5" s="1"/>
  <c r="S2" i="5"/>
  <c r="T2" i="5" s="1"/>
  <c r="AC13" i="5"/>
  <c r="E49" i="1" s="1"/>
  <c r="D8" i="5"/>
  <c r="N42" i="1"/>
  <c r="AG18" i="5"/>
  <c r="T4" i="5"/>
  <c r="O10" i="5"/>
  <c r="R4" i="5"/>
  <c r="V3" i="5"/>
  <c r="P9" i="5"/>
  <c r="C93" i="3"/>
  <c r="H93" i="3" s="1"/>
  <c r="D108" i="8"/>
  <c r="C99" i="8" s="1"/>
  <c r="M24" i="1"/>
  <c r="E24" i="1" s="1"/>
  <c r="M24" i="8"/>
  <c r="M26" i="1"/>
  <c r="M26" i="8"/>
  <c r="M28" i="1"/>
  <c r="M28" i="8"/>
  <c r="M29" i="1"/>
  <c r="M29" i="8"/>
  <c r="M30" i="1"/>
  <c r="M30" i="8"/>
  <c r="M31" i="1"/>
  <c r="N30" i="8"/>
  <c r="M31" i="8"/>
  <c r="N31" i="1"/>
  <c r="N31" i="8"/>
  <c r="M32" i="8"/>
  <c r="M25" i="1"/>
  <c r="B37" i="8"/>
  <c r="E44" i="8" s="1"/>
  <c r="G44" i="8" s="1"/>
  <c r="M25" i="8"/>
  <c r="B37" i="1"/>
  <c r="E44" i="1" s="1"/>
  <c r="G44" i="1" s="1"/>
  <c r="G45" i="1" s="1"/>
  <c r="M27" i="1"/>
  <c r="M27" i="8"/>
  <c r="E39" i="8" s="1"/>
  <c r="M32" i="1"/>
  <c r="N30" i="1"/>
  <c r="P8" i="5"/>
  <c r="D3" i="5"/>
  <c r="D2" i="5"/>
  <c r="D11" i="5" s="1"/>
  <c r="P5" i="5"/>
  <c r="R5" i="5"/>
  <c r="R6" i="5"/>
  <c r="P3" i="5"/>
  <c r="R9" i="5"/>
  <c r="P7" i="5"/>
  <c r="D87" i="3"/>
  <c r="B104" i="1"/>
  <c r="B102" i="1"/>
  <c r="L8" i="2"/>
  <c r="E16" i="5" l="1"/>
  <c r="E17" i="5" s="1"/>
  <c r="F17" i="5" s="1"/>
  <c r="Y2" i="5" s="1"/>
  <c r="W2" i="5" s="1"/>
  <c r="D14" i="5"/>
  <c r="G11" i="5"/>
  <c r="H11" i="5" s="1"/>
  <c r="N16" i="5"/>
  <c r="P16" i="5"/>
  <c r="P14" i="5"/>
  <c r="C15" i="5"/>
  <c r="R2" i="5"/>
  <c r="S10" i="5"/>
  <c r="V2" i="5"/>
  <c r="V10" i="5" s="1"/>
  <c r="U10" i="5"/>
  <c r="AM6" i="5"/>
  <c r="AM12" i="5" s="1"/>
  <c r="AM17" i="5" s="1"/>
  <c r="AL6" i="5"/>
  <c r="AL12" i="5" s="1"/>
  <c r="AL17" i="5" s="1"/>
  <c r="AN6" i="5"/>
  <c r="AN12" i="5" s="1"/>
  <c r="AN17" i="5" s="1"/>
  <c r="T10" i="5"/>
  <c r="T15" i="5"/>
  <c r="C107" i="8"/>
  <c r="M10" i="5"/>
  <c r="N14" i="5" s="1"/>
  <c r="N2" i="5"/>
  <c r="N15" i="5" s="1"/>
  <c r="C106" i="8"/>
  <c r="C101" i="8"/>
  <c r="C103" i="8"/>
  <c r="C104" i="8"/>
  <c r="C98" i="8"/>
  <c r="C105" i="8"/>
  <c r="C102" i="8"/>
  <c r="C100" i="8"/>
  <c r="G39" i="8"/>
  <c r="B41" i="8"/>
  <c r="R2" i="8"/>
  <c r="G45" i="8"/>
  <c r="I44" i="8"/>
  <c r="B38" i="8" s="1"/>
  <c r="I44" i="1"/>
  <c r="P2" i="5"/>
  <c r="P10" i="5" s="1"/>
  <c r="R3" i="5"/>
  <c r="E10" i="2"/>
  <c r="G10" i="2" s="1"/>
  <c r="G11" i="2" s="1"/>
  <c r="L10" i="2"/>
  <c r="G15" i="2"/>
  <c r="I15" i="2" s="1"/>
  <c r="G20" i="2"/>
  <c r="G21" i="2" s="1"/>
  <c r="I23" i="2"/>
  <c r="I18" i="2"/>
  <c r="I8" i="2"/>
  <c r="B35" i="1"/>
  <c r="B36" i="1" s="1"/>
  <c r="E52" i="1"/>
  <c r="G52" i="1"/>
  <c r="R31" i="5" l="1"/>
  <c r="Y3" i="5"/>
  <c r="R32" i="5"/>
  <c r="X5" i="5"/>
  <c r="N17" i="5"/>
  <c r="O12" i="5" s="1"/>
  <c r="G14" i="5"/>
  <c r="B23" i="5" s="1"/>
  <c r="P17" i="5"/>
  <c r="H14" i="5"/>
  <c r="AL2" i="5"/>
  <c r="AL19" i="5" s="1"/>
  <c r="AL4" i="5"/>
  <c r="AL10" i="5" s="1"/>
  <c r="AL15" i="5" s="1"/>
  <c r="T16" i="5"/>
  <c r="AM4" i="5"/>
  <c r="AM10" i="5" s="1"/>
  <c r="AM15" i="5" s="1"/>
  <c r="P15" i="5"/>
  <c r="AN4" i="5"/>
  <c r="AN10" i="5" s="1"/>
  <c r="AN15" i="5" s="1"/>
  <c r="AM2" i="5"/>
  <c r="AM9" i="5" s="1"/>
  <c r="AM14" i="5" s="1"/>
  <c r="AN2" i="5"/>
  <c r="AN9" i="5" s="1"/>
  <c r="AN14" i="5" s="1"/>
  <c r="AO17" i="5"/>
  <c r="AP6" i="5" s="1"/>
  <c r="N10" i="5"/>
  <c r="G25" i="2"/>
  <c r="G26" i="2" s="1"/>
  <c r="E25" i="2"/>
  <c r="C40" i="8"/>
  <c r="R5" i="8"/>
  <c r="C39" i="8"/>
  <c r="S2" i="8"/>
  <c r="S5" i="8" s="1"/>
  <c r="G14" i="8"/>
  <c r="M1" i="8"/>
  <c r="M6" i="8"/>
  <c r="I39" i="8"/>
  <c r="M8" i="8" s="1"/>
  <c r="G40" i="8"/>
  <c r="S7" i="8" s="1"/>
  <c r="C41" i="8"/>
  <c r="L2" i="2"/>
  <c r="R7" i="5"/>
  <c r="R10" i="5" s="1"/>
  <c r="Q10" i="5"/>
  <c r="R16" i="5" s="1"/>
  <c r="I20" i="2"/>
  <c r="G16" i="2"/>
  <c r="I52" i="1"/>
  <c r="G54" i="1"/>
  <c r="G55" i="1" s="1"/>
  <c r="X10" i="5" l="1"/>
  <c r="P18" i="5"/>
  <c r="R14" i="5"/>
  <c r="R17" i="5" s="1"/>
  <c r="T17" i="5" s="1"/>
  <c r="N13" i="5"/>
  <c r="AL9" i="5"/>
  <c r="AL14" i="5" s="1"/>
  <c r="AO14" i="5" s="1"/>
  <c r="AP2" i="5" s="1"/>
  <c r="W8" i="5"/>
  <c r="W12" i="5"/>
  <c r="AN5" i="5"/>
  <c r="AN11" i="5" s="1"/>
  <c r="AN16" i="5" s="1"/>
  <c r="AL5" i="5"/>
  <c r="AL11" i="5" s="1"/>
  <c r="AL16" i="5" s="1"/>
  <c r="R15" i="5"/>
  <c r="AM5" i="5"/>
  <c r="AM11" i="5" s="1"/>
  <c r="AM16" i="5" s="1"/>
  <c r="AO15" i="5"/>
  <c r="AP4" i="5" s="1"/>
  <c r="W3" i="5"/>
  <c r="W4" i="5"/>
  <c r="W5" i="5"/>
  <c r="W7" i="5"/>
  <c r="W9" i="5"/>
  <c r="W6" i="5"/>
  <c r="I2" i="2"/>
  <c r="S11" i="8"/>
  <c r="T11" i="8" s="1"/>
  <c r="U11" i="8" s="1"/>
  <c r="S13" i="8" s="1"/>
  <c r="T7" i="8"/>
  <c r="T9" i="8"/>
  <c r="J11" i="8"/>
  <c r="M10" i="8"/>
  <c r="O8" i="8" s="1"/>
  <c r="N10" i="2"/>
  <c r="N8" i="2"/>
  <c r="I54" i="1"/>
  <c r="F30" i="5" l="1"/>
  <c r="H29" i="5"/>
  <c r="Q12" i="5"/>
  <c r="S12" i="5" s="1"/>
  <c r="N18" i="5"/>
  <c r="N20" i="5" s="1"/>
  <c r="R18" i="5"/>
  <c r="R20" i="5" s="1"/>
  <c r="AO16" i="5"/>
  <c r="AP5" i="5" s="1"/>
  <c r="AP7" i="5" s="1"/>
  <c r="P20" i="5"/>
  <c r="O3" i="8"/>
  <c r="O2" i="8"/>
  <c r="O5" i="8"/>
  <c r="J10" i="8"/>
  <c r="O7" i="8"/>
  <c r="FK60" i="8" s="1"/>
  <c r="O9" i="8"/>
  <c r="O4" i="8"/>
  <c r="O6" i="8"/>
  <c r="N23" i="2"/>
  <c r="N22" i="2"/>
  <c r="D105" i="1"/>
  <c r="B105" i="1"/>
  <c r="E102" i="1"/>
  <c r="E104" i="1"/>
  <c r="E103" i="1"/>
  <c r="E101" i="1"/>
  <c r="E100" i="1"/>
  <c r="E99" i="1"/>
  <c r="E97" i="1"/>
  <c r="E96" i="1"/>
  <c r="D112" i="1"/>
  <c r="E111" i="1" s="1"/>
  <c r="E29" i="1"/>
  <c r="H30" i="5" l="1"/>
  <c r="H34" i="5"/>
  <c r="H36" i="5" s="1"/>
  <c r="H38" i="5" s="1"/>
  <c r="P13" i="5"/>
  <c r="R13" i="5" s="1"/>
  <c r="T13" i="5" s="1"/>
  <c r="T18" i="5"/>
  <c r="T20" i="5" s="1"/>
  <c r="O13" i="8"/>
  <c r="P13" i="8" s="1"/>
  <c r="FT60" i="8"/>
  <c r="P5" i="8"/>
  <c r="P8" i="8"/>
  <c r="E109" i="1"/>
  <c r="C101" i="1"/>
  <c r="C104" i="1"/>
  <c r="C99" i="1"/>
  <c r="C103" i="1"/>
  <c r="C98" i="1"/>
  <c r="C102" i="1"/>
  <c r="C97" i="1"/>
  <c r="C95" i="1"/>
  <c r="C96" i="1"/>
  <c r="C100" i="1"/>
  <c r="E110" i="1"/>
  <c r="I27" i="1"/>
  <c r="I22" i="1"/>
  <c r="I17" i="1"/>
  <c r="E19" i="1" s="1"/>
  <c r="I47" i="1"/>
  <c r="I49" i="1" s="1"/>
  <c r="I35" i="1" l="1"/>
  <c r="G19" i="1"/>
  <c r="G20" i="1" s="1"/>
  <c r="D9" i="1"/>
  <c r="B74" i="1" s="1"/>
  <c r="D74" i="1" s="1"/>
  <c r="B14" i="1" l="1"/>
  <c r="G24" i="1"/>
  <c r="B38" i="1"/>
  <c r="E39" i="1" l="1"/>
  <c r="B31" i="1"/>
  <c r="D2" i="1"/>
  <c r="B67" i="1" s="1"/>
  <c r="C67" i="1" l="1"/>
  <c r="D67" i="1"/>
  <c r="E19" i="3"/>
  <c r="B14" i="3"/>
  <c r="P19" i="3" s="1"/>
  <c r="E7" i="3"/>
  <c r="E8" i="3"/>
  <c r="E4" i="3"/>
  <c r="E3" i="3"/>
  <c r="E74" i="3"/>
  <c r="B33" i="3"/>
  <c r="E30" i="3"/>
  <c r="G30" i="3" s="1"/>
  <c r="G31" i="3" s="1"/>
  <c r="B30" i="3"/>
  <c r="B29" i="3"/>
  <c r="I28" i="3"/>
  <c r="B28" i="3"/>
  <c r="E24" i="3"/>
  <c r="G24" i="3" s="1"/>
  <c r="G25" i="3" s="1"/>
  <c r="I22" i="3"/>
  <c r="I17" i="3"/>
  <c r="G19" i="3" s="1"/>
  <c r="G20" i="3" s="1"/>
  <c r="E17" i="3"/>
  <c r="C12" i="3"/>
  <c r="E12" i="3" s="1"/>
  <c r="C11" i="3"/>
  <c r="D11" i="3" s="1"/>
  <c r="C10" i="3"/>
  <c r="D10" i="3" s="1"/>
  <c r="C9" i="3"/>
  <c r="E9" i="3" s="1"/>
  <c r="C8" i="3"/>
  <c r="C7" i="3"/>
  <c r="D7" i="3" s="1"/>
  <c r="C6" i="3"/>
  <c r="D6" i="3" s="1"/>
  <c r="C5" i="3"/>
  <c r="D5" i="3" s="1"/>
  <c r="C4" i="3"/>
  <c r="D4" i="3" s="1"/>
  <c r="C3" i="3"/>
  <c r="D3" i="3" s="1"/>
  <c r="C2" i="3"/>
  <c r="D2" i="3" s="1"/>
  <c r="E5" i="3" l="1"/>
  <c r="E2" i="3"/>
  <c r="D9" i="3"/>
  <c r="E6" i="3"/>
  <c r="E11" i="3"/>
  <c r="C14" i="3"/>
  <c r="E10" i="3"/>
  <c r="B31" i="3"/>
  <c r="D8" i="3"/>
  <c r="D14" i="3" s="1"/>
  <c r="D12" i="3"/>
  <c r="E14" i="3" l="1"/>
  <c r="B19" i="3"/>
  <c r="B22" i="3"/>
  <c r="B17" i="3"/>
  <c r="B21" i="3"/>
  <c r="J5" i="3" s="1"/>
  <c r="B20" i="3"/>
  <c r="B24" i="3"/>
  <c r="B16" i="3" s="1"/>
  <c r="J1" i="3" s="1"/>
  <c r="B18" i="3"/>
  <c r="C19" i="3"/>
  <c r="C17" i="3"/>
  <c r="A36" i="3" s="1"/>
  <c r="J7" i="3"/>
  <c r="J4" i="3"/>
  <c r="G25" i="1"/>
  <c r="G29" i="1"/>
  <c r="G30" i="1" s="1"/>
  <c r="B36" i="3" l="1"/>
  <c r="B23" i="3" s="1"/>
  <c r="B25" i="3" s="1"/>
  <c r="B39" i="3"/>
  <c r="M19" i="3" s="1"/>
  <c r="M21" i="3" s="1"/>
  <c r="M23" i="3" s="1"/>
  <c r="N23" i="3" s="1"/>
  <c r="O23" i="3" s="1"/>
  <c r="M14" i="3"/>
  <c r="G14" i="3" s="1"/>
  <c r="J12" i="3"/>
  <c r="J2" i="3"/>
  <c r="J6" i="3"/>
  <c r="J3" i="3"/>
  <c r="K3" i="3" s="1"/>
  <c r="B41" i="3"/>
  <c r="B42" i="3" s="1"/>
  <c r="B43" i="3" s="1"/>
  <c r="L5" i="3" l="1"/>
  <c r="O14" i="3"/>
  <c r="V35" i="3"/>
  <c r="V33" i="3"/>
  <c r="L2" i="3"/>
  <c r="J11" i="3" s="1"/>
  <c r="M25" i="3"/>
  <c r="V34" i="3"/>
  <c r="J8" i="3"/>
  <c r="K8" i="3" s="1"/>
  <c r="K7" i="3"/>
  <c r="K4" i="3"/>
  <c r="K5" i="3"/>
  <c r="K2" i="3"/>
  <c r="K6" i="3"/>
  <c r="J9" i="3" l="1"/>
  <c r="K14" i="3"/>
  <c r="D8" i="1" l="1"/>
  <c r="B73" i="1" s="1"/>
  <c r="D73" i="1" s="1"/>
  <c r="D7" i="1"/>
  <c r="B72" i="1" s="1"/>
  <c r="D72" i="1" s="1"/>
  <c r="D5" i="1"/>
  <c r="B70" i="1" s="1"/>
  <c r="D70" i="1" s="1"/>
  <c r="D6" i="1"/>
  <c r="B71" i="1" s="1"/>
  <c r="D71" i="1" s="1"/>
  <c r="D4" i="1" l="1"/>
  <c r="G49" i="1"/>
  <c r="K70" i="1"/>
  <c r="G70" i="1"/>
  <c r="C70" i="1"/>
  <c r="L70" i="1" s="1"/>
  <c r="I70" i="1"/>
  <c r="F70" i="1"/>
  <c r="H70" i="1"/>
  <c r="E70" i="1"/>
  <c r="J70" i="1"/>
  <c r="G72" i="1"/>
  <c r="C72" i="1"/>
  <c r="L72" i="1" s="1"/>
  <c r="E72" i="1"/>
  <c r="F72" i="1"/>
  <c r="K72" i="1"/>
  <c r="H72" i="1"/>
  <c r="I72" i="1"/>
  <c r="J72" i="1"/>
  <c r="F73" i="1"/>
  <c r="J73" i="1"/>
  <c r="C73" i="1"/>
  <c r="L73" i="1" s="1"/>
  <c r="E73" i="1"/>
  <c r="I73" i="1"/>
  <c r="K73" i="1"/>
  <c r="H73" i="1"/>
  <c r="G73" i="1"/>
  <c r="H71" i="1"/>
  <c r="J71" i="1"/>
  <c r="G71" i="1"/>
  <c r="K71" i="1"/>
  <c r="I71" i="1"/>
  <c r="E71" i="1"/>
  <c r="F71" i="1"/>
  <c r="C71" i="1"/>
  <c r="L71" i="1" s="1"/>
  <c r="E67" i="1"/>
  <c r="D14" i="1" l="1"/>
  <c r="B16" i="1" s="1"/>
  <c r="M1" i="1" s="1"/>
  <c r="B69" i="1"/>
  <c r="D69" i="1" s="1"/>
  <c r="G39" i="1"/>
  <c r="B41" i="1"/>
  <c r="L68" i="1"/>
  <c r="G67" i="1"/>
  <c r="L67" i="1"/>
  <c r="I67" i="1"/>
  <c r="J67" i="1"/>
  <c r="K67" i="1"/>
  <c r="H67" i="1"/>
  <c r="F67" i="1"/>
  <c r="G50" i="1"/>
  <c r="G69" i="1" l="1"/>
  <c r="C69" i="1"/>
  <c r="L69" i="1" s="1"/>
  <c r="E69" i="1"/>
  <c r="J69" i="1"/>
  <c r="F69" i="1"/>
  <c r="K69" i="1"/>
  <c r="H69" i="1"/>
  <c r="I69" i="1"/>
  <c r="K68" i="1"/>
  <c r="E68" i="1"/>
  <c r="I68" i="1"/>
  <c r="H68" i="1"/>
  <c r="J68" i="1"/>
  <c r="G68" i="1"/>
  <c r="F68" i="1"/>
  <c r="I39" i="1"/>
  <c r="G40" i="1"/>
  <c r="S7" i="1" s="1"/>
  <c r="S11" i="1" s="1"/>
  <c r="T11" i="1" l="1"/>
  <c r="U11" i="1" s="1"/>
  <c r="F74" i="1" l="1"/>
  <c r="F75" i="1" s="1"/>
  <c r="B18" i="1" s="1"/>
  <c r="M4" i="1" s="1"/>
  <c r="D75" i="1" l="1"/>
  <c r="B19" i="1" s="1"/>
  <c r="M2" i="1" s="1"/>
  <c r="I74" i="1"/>
  <c r="I75" i="1" s="1"/>
  <c r="B23" i="1" s="1"/>
  <c r="M8" i="1" s="1"/>
  <c r="J74" i="1"/>
  <c r="J75" i="1" s="1"/>
  <c r="B24" i="1" s="1"/>
  <c r="M7" i="1" s="1"/>
  <c r="K74" i="1"/>
  <c r="K75" i="1" s="1"/>
  <c r="B22" i="1" s="1"/>
  <c r="B40" i="1" s="1"/>
  <c r="B75" i="1"/>
  <c r="E74" i="1"/>
  <c r="E75" i="1" s="1"/>
  <c r="B20" i="1" s="1"/>
  <c r="M5" i="1" s="1"/>
  <c r="C74" i="1"/>
  <c r="G74" i="1"/>
  <c r="G75" i="1" s="1"/>
  <c r="B17" i="1" s="1"/>
  <c r="M3" i="1" s="1"/>
  <c r="H74" i="1"/>
  <c r="H75" i="1" s="1"/>
  <c r="B21" i="1" s="1"/>
  <c r="M6" i="1" s="1"/>
  <c r="C75" i="1" l="1"/>
  <c r="C14" i="1" s="1"/>
  <c r="C15" i="1" s="1"/>
  <c r="L74" i="1"/>
  <c r="L75" i="1" s="1"/>
  <c r="B25" i="1"/>
  <c r="V34" i="1" l="1"/>
  <c r="AD22" i="5"/>
  <c r="V33" i="1"/>
  <c r="P2" i="1"/>
  <c r="N13" i="1" s="1"/>
  <c r="L51" i="1"/>
  <c r="R2" i="1"/>
  <c r="L45" i="1"/>
  <c r="L48" i="1"/>
  <c r="V35" i="1"/>
  <c r="M10" i="1"/>
  <c r="O3" i="1" s="1"/>
  <c r="B20" i="2" s="1"/>
  <c r="L17" i="2" l="1"/>
  <c r="N17" i="2" s="1"/>
  <c r="L4" i="2"/>
  <c r="N4" i="2" s="1"/>
  <c r="N51" i="1"/>
  <c r="P51" i="1"/>
  <c r="P48" i="1"/>
  <c r="N48" i="1"/>
  <c r="O9" i="1"/>
  <c r="B26" i="2" s="1"/>
  <c r="O4" i="1"/>
  <c r="B21" i="2" s="1"/>
  <c r="O6" i="1"/>
  <c r="B23" i="2" s="1"/>
  <c r="L7" i="2" s="1"/>
  <c r="O7" i="1"/>
  <c r="O8" i="1"/>
  <c r="B25" i="2" s="1"/>
  <c r="L9" i="2" s="1"/>
  <c r="N9" i="2" s="1"/>
  <c r="O2" i="1"/>
  <c r="O5" i="1"/>
  <c r="P45" i="1"/>
  <c r="N45" i="1"/>
  <c r="G14" i="1"/>
  <c r="T7" i="1"/>
  <c r="S13" i="1"/>
  <c r="E2" i="2" s="1"/>
  <c r="J2" i="2" s="1"/>
  <c r="I3" i="2" s="1"/>
  <c r="C39" i="1"/>
  <c r="R5" i="1"/>
  <c r="S2" i="1"/>
  <c r="S5" i="1" s="1"/>
  <c r="C41" i="1"/>
  <c r="C40" i="1"/>
  <c r="J10" i="1" l="1"/>
  <c r="J11" i="1"/>
  <c r="N7" i="2"/>
  <c r="I30" i="2"/>
  <c r="B24" i="2"/>
  <c r="L21" i="2" s="1"/>
  <c r="N21" i="2" s="1"/>
  <c r="FK60" i="1"/>
  <c r="FT60" i="1"/>
  <c r="B22" i="2"/>
  <c r="O13" i="1"/>
  <c r="P13" i="1" s="1"/>
  <c r="T9" i="1"/>
  <c r="P8" i="1"/>
  <c r="B19" i="2"/>
  <c r="P5" i="1"/>
  <c r="L18" i="2"/>
  <c r="N18" i="2" s="1"/>
  <c r="L5" i="2"/>
  <c r="N5" i="2" s="1"/>
  <c r="L16" i="2" l="1"/>
  <c r="L3" i="2"/>
  <c r="L6" i="2"/>
  <c r="N6" i="2" s="1"/>
  <c r="L19" i="2"/>
  <c r="N19" i="2" s="1"/>
  <c r="E30" i="2"/>
  <c r="G30" i="2" s="1"/>
  <c r="G31" i="2" s="1"/>
  <c r="L20" i="2"/>
  <c r="N20" i="2" s="1"/>
  <c r="N3" i="2" l="1"/>
  <c r="L11" i="2"/>
  <c r="O3" i="2"/>
  <c r="M13" i="2" s="1"/>
  <c r="O16" i="2"/>
  <c r="L15" i="2"/>
  <c r="N16" i="2"/>
  <c r="O22" i="2" l="1"/>
  <c r="O19" i="2"/>
  <c r="O9" i="2"/>
  <c r="O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Roberto Carlos Paredes Silva</author>
    <author>rparedes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Roberto Carlos Paredes Silva:</t>
        </r>
        <r>
          <rPr>
            <sz val="9"/>
            <color indexed="81"/>
            <rFont val="Tahoma"/>
            <family val="2"/>
          </rPr>
          <t xml:space="preserve">
normal, 0.83
</t>
        </r>
      </text>
    </comment>
    <comment ref="K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Roberto Carlos Paredes Silva:</t>
        </r>
        <r>
          <rPr>
            <sz val="9"/>
            <color indexed="81"/>
            <rFont val="Tahoma"/>
            <family val="2"/>
          </rPr>
          <t xml:space="preserve">
.36
</t>
        </r>
      </text>
    </comment>
    <comment ref="E4" authorId="1" shapeId="0" xr:uid="{00000000-0006-0000-0000-000003000000}">
      <text>
        <r>
          <rPr>
            <b/>
            <sz val="8"/>
            <color indexed="81"/>
            <rFont val="Tahoma"/>
            <family val="2"/>
          </rPr>
          <t>rparedes:</t>
        </r>
        <r>
          <rPr>
            <sz val="8"/>
            <color indexed="81"/>
            <rFont val="Tahoma"/>
            <family val="2"/>
          </rPr>
          <t xml:space="preserve">
Mezclada con Huachipa sería aparentemen 0 .83.
normal es de 0.88
</t>
        </r>
      </text>
    </comment>
    <comment ref="K4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Roberto Carlos Paredes Silva:</t>
        </r>
        <r>
          <rPr>
            <sz val="9"/>
            <color indexed="81"/>
            <rFont val="Tahoma"/>
            <family val="2"/>
          </rPr>
          <t xml:space="preserve">
promedio liviana 0.41, cizalla sola es 0.46</t>
        </r>
      </text>
    </comment>
    <comment ref="K5" authorId="1" shapeId="0" xr:uid="{00000000-0006-0000-0000-000005000000}">
      <text>
        <r>
          <rPr>
            <b/>
            <sz val="8"/>
            <color indexed="81"/>
            <rFont val="Tahoma"/>
            <family val="2"/>
          </rPr>
          <t>rparedes:</t>
        </r>
        <r>
          <rPr>
            <sz val="8"/>
            <color indexed="81"/>
            <rFont val="Tahoma"/>
            <family val="2"/>
          </rPr>
          <t xml:space="preserve">
Densidad 1.3 normal, sin embargo los recortes son muy grandes y ovalados, lo que reduce la densidad aparente</t>
        </r>
      </text>
    </comment>
    <comment ref="E6" authorId="1" shapeId="0" xr:uid="{00000000-0006-0000-0000-000006000000}">
      <text>
        <r>
          <rPr>
            <b/>
            <sz val="8"/>
            <color indexed="81"/>
            <rFont val="Tahoma"/>
            <family val="2"/>
          </rPr>
          <t>rparedes:</t>
        </r>
        <r>
          <rPr>
            <sz val="8"/>
            <color indexed="81"/>
            <rFont val="Tahoma"/>
            <family val="2"/>
          </rPr>
          <t xml:space="preserve">
el mix de harsco se considera 70%, puro A, 87%</t>
        </r>
      </text>
    </comment>
    <comment ref="E7" authorId="1" shapeId="0" xr:uid="{00000000-0006-0000-0000-000007000000}">
      <text>
        <r>
          <rPr>
            <b/>
            <sz val="8"/>
            <color indexed="81"/>
            <rFont val="Tahoma"/>
            <family val="2"/>
          </rPr>
          <t>rparedes:</t>
        </r>
        <r>
          <rPr>
            <sz val="8"/>
            <color indexed="81"/>
            <rFont val="Tahoma"/>
            <family val="2"/>
          </rPr>
          <t xml:space="preserve">
0.93 REGULAREMENTE, VAMOS A CONsiderar 95% 27.03.17
</t>
        </r>
      </text>
    </comment>
    <comment ref="K9" authorId="1" shapeId="0" xr:uid="{00000000-0006-0000-0000-000008000000}">
      <text>
        <r>
          <rPr>
            <b/>
            <sz val="8"/>
            <color indexed="81"/>
            <rFont val="Tahoma"/>
            <family val="2"/>
          </rPr>
          <t>rparedes:</t>
        </r>
        <r>
          <rPr>
            <sz val="8"/>
            <color indexed="81"/>
            <rFont val="Tahoma"/>
            <family val="2"/>
          </rPr>
          <t xml:space="preserve">
densidad normal 0.6, 075 considerando los tubos de gas que se quiere importar</t>
        </r>
      </text>
    </comment>
    <comment ref="D1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Roberto Carlos Paredes Silva:</t>
        </r>
        <r>
          <rPr>
            <sz val="9"/>
            <color indexed="81"/>
            <rFont val="Tahoma"/>
            <family val="2"/>
          </rPr>
          <t xml:space="preserve">
Considerando que Liviana y Cizalla, el 50% es organico y 10% fragmentada y Pesada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26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Cal cálcica sider: 80%CaO
Cal cálcica Imp: 85% CaO
</t>
        </r>
      </text>
    </comment>
    <comment ref="A27" authorId="0" shapeId="0" xr:uid="{00000000-0006-0000-0100-000002000000}">
      <text>
        <r>
          <rPr>
            <sz val="9"/>
            <color indexed="81"/>
            <rFont val="Tahoma"/>
            <family val="2"/>
          </rPr>
          <t>Cal dolomitica sider: 
58% CaO y 23% MgO
Cal cálcica Importada:
55% CaO y 32% MgO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D38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RPAREDES:
Oxidación del 30% P</t>
        </r>
      </text>
    </comment>
    <comment ref="D43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 xml:space="preserve">RPAREDES:
OXIDACIÓN DEL 85% del Mn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D14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 xml:space="preserve">RPAREDES:
OXIDACIÓN DEL 85% del Mn
</t>
        </r>
      </text>
    </comment>
    <comment ref="D29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 xml:space="preserve">RPAREDES:
OXIDACIÓN DEL 85% del Mn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26" authorId="0" shapeId="0" xr:uid="{00000000-0006-0000-0400-000001000000}">
      <text>
        <r>
          <rPr>
            <sz val="9"/>
            <color indexed="81"/>
            <rFont val="Tahoma"/>
            <family val="2"/>
          </rPr>
          <t xml:space="preserve">Cal cálcica sider: 80%CaO
Cal cálcica Imp: 85% CaO
</t>
        </r>
      </text>
    </comment>
    <comment ref="A27" authorId="0" shapeId="0" xr:uid="{00000000-0006-0000-0400-000002000000}">
      <text>
        <r>
          <rPr>
            <sz val="9"/>
            <color indexed="81"/>
            <rFont val="Tahoma"/>
            <family val="2"/>
          </rPr>
          <t>Cal dolomitica sider: 
58% CaO y 23% MgO
Cal cálcica Importada:
55% CaO y 32% MgO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A41" authorId="0" shapeId="0" xr:uid="{00000000-0006-0000-0400-000003000000}">
      <text>
        <r>
          <rPr>
            <b/>
            <u/>
            <sz val="9"/>
            <color indexed="81"/>
            <rFont val="Tahoma"/>
            <family val="2"/>
          </rPr>
          <t>R. Paredes:</t>
        </r>
        <r>
          <rPr>
            <b/>
            <sz val="9"/>
            <color indexed="81"/>
            <rFont val="Tahoma"/>
            <family val="2"/>
          </rPr>
          <t xml:space="preserve">
Para Obtener una Basicidad de 1.5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rparedes</author>
  </authors>
  <commentList>
    <comment ref="I9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rparedes:</t>
        </r>
        <r>
          <rPr>
            <sz val="8"/>
            <color indexed="81"/>
            <rFont val="Tahoma"/>
            <family val="2"/>
          </rPr>
          <t xml:space="preserve">
densidad normal 0.6, 075 considerando los tubos de gas que se quiere importar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26" authorId="0" shapeId="0" xr:uid="{00000000-0006-0000-0700-000001000000}">
      <text>
        <r>
          <rPr>
            <sz val="9"/>
            <color indexed="81"/>
            <rFont val="Tahoma"/>
            <family val="2"/>
          </rPr>
          <t xml:space="preserve">Cal cálcica sider: 80%CaO
Cal cálcica Imp: 85% CaO
</t>
        </r>
      </text>
    </comment>
    <comment ref="A27" authorId="0" shapeId="0" xr:uid="{00000000-0006-0000-0700-000002000000}">
      <text>
        <r>
          <rPr>
            <sz val="9"/>
            <color indexed="81"/>
            <rFont val="Tahoma"/>
            <family val="2"/>
          </rPr>
          <t>Cal dolomitica sider: 
58% CaO y 23% MgO
Cal cálcica Importada:
55% CaO y 32% MgO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D38" authorId="0" shapeId="0" xr:uid="{00000000-0006-0000-0700-000003000000}">
      <text>
        <r>
          <rPr>
            <b/>
            <sz val="8"/>
            <color indexed="81"/>
            <rFont val="Tahoma"/>
            <family val="2"/>
          </rPr>
          <t>RPAREDES:
Oxidación del 30% P</t>
        </r>
      </text>
    </comment>
    <comment ref="D43" authorId="0" shapeId="0" xr:uid="{00000000-0006-0000-0700-000004000000}">
      <text>
        <r>
          <rPr>
            <b/>
            <sz val="8"/>
            <color indexed="81"/>
            <rFont val="Tahoma"/>
            <family val="2"/>
          </rPr>
          <t xml:space="preserve">RPAREDES:
OXIDACIÓN DEL 85% del Mn
</t>
        </r>
      </text>
    </comment>
  </commentList>
</comments>
</file>

<file path=xl/sharedStrings.xml><?xml version="1.0" encoding="utf-8"?>
<sst xmlns="http://schemas.openxmlformats.org/spreadsheetml/2006/main" count="902" uniqueCount="302">
  <si>
    <t>Tipo de Chatarra</t>
  </si>
  <si>
    <t>Tierra</t>
  </si>
  <si>
    <t>Total</t>
  </si>
  <si>
    <t>Carga</t>
  </si>
  <si>
    <t>Rendimiento</t>
  </si>
  <si>
    <t>Contenido de SiO2</t>
  </si>
  <si>
    <t>Adiciòn CaO</t>
  </si>
  <si>
    <t>Adiciòn de Cal</t>
  </si>
  <si>
    <t>MgO Faltante</t>
  </si>
  <si>
    <t>CIZALLADA</t>
  </si>
  <si>
    <t>LIVIANA</t>
  </si>
  <si>
    <t>FABRICA</t>
  </si>
  <si>
    <t>LACTEO</t>
  </si>
  <si>
    <t>OXICORTE</t>
  </si>
  <si>
    <t>PAQUETE COMPACTADO</t>
  </si>
  <si>
    <t>PESADA ENVIO DIRECTO</t>
  </si>
  <si>
    <t>MULTI AG</t>
  </si>
  <si>
    <t>MULTI AP</t>
  </si>
  <si>
    <t>MULTI B</t>
  </si>
  <si>
    <t>MULTI C</t>
  </si>
  <si>
    <t>% tierra</t>
  </si>
  <si>
    <t>Metalico</t>
  </si>
  <si>
    <t>Contenido de S</t>
  </si>
  <si>
    <t>Contenido de CaO</t>
  </si>
  <si>
    <t>Contenido de FeO</t>
  </si>
  <si>
    <t>Contenido MgO</t>
  </si>
  <si>
    <t>Contenido Al2O3</t>
  </si>
  <si>
    <t>Contenido de MgO de Cal</t>
  </si>
  <si>
    <t>Adición de cal dolomitica</t>
  </si>
  <si>
    <t>CaO</t>
  </si>
  <si>
    <t>MgO</t>
  </si>
  <si>
    <t>SiO2</t>
  </si>
  <si>
    <t>Escoria</t>
  </si>
  <si>
    <t>Al2O3</t>
  </si>
  <si>
    <t>MnO</t>
  </si>
  <si>
    <t>FeO</t>
  </si>
  <si>
    <t>Adición de magnesita</t>
  </si>
  <si>
    <t>Contenido MnO</t>
  </si>
  <si>
    <t>Otros</t>
  </si>
  <si>
    <t>C/S</t>
  </si>
  <si>
    <t>Aporte de Fe</t>
  </si>
  <si>
    <t>O2</t>
  </si>
  <si>
    <t>Porcentaje</t>
  </si>
  <si>
    <t>2Fe</t>
  </si>
  <si>
    <t>2FeO</t>
  </si>
  <si>
    <t>2C</t>
  </si>
  <si>
    <t>2CO</t>
  </si>
  <si>
    <t>O2 total</t>
  </si>
  <si>
    <t>Adición real</t>
  </si>
  <si>
    <t>Antracita Cesta</t>
  </si>
  <si>
    <t>Antracita Inyección</t>
  </si>
  <si>
    <t>Diferencia</t>
  </si>
  <si>
    <t>ppmO</t>
  </si>
  <si>
    <t>MgO necesario:</t>
  </si>
  <si>
    <t>Peso Colada</t>
  </si>
  <si>
    <t>Azufre</t>
  </si>
  <si>
    <t>Costo</t>
  </si>
  <si>
    <t>Costo MP</t>
  </si>
  <si>
    <t>Adición de cal cálcica</t>
  </si>
  <si>
    <t>Temperatura de líquidus de escoria es de 1500 °C, y temperatura de fin de fusión es 1640 °C</t>
  </si>
  <si>
    <t>La escoria es completamente líquida y agresiva</t>
  </si>
  <si>
    <t>Temperatura líquidus de la escoria:</t>
  </si>
  <si>
    <t>B3</t>
  </si>
  <si>
    <t>MgO sat</t>
  </si>
  <si>
    <t>FIERRO FUNDIDO</t>
  </si>
  <si>
    <t>HOJALATA</t>
  </si>
  <si>
    <t>FRAGMENTADA</t>
  </si>
  <si>
    <t>VIRUTA</t>
  </si>
  <si>
    <t>TOCHOS/BOLAS</t>
  </si>
  <si>
    <t>MULTI A FONDOS</t>
  </si>
  <si>
    <t>MULTI A TUNDISH</t>
  </si>
  <si>
    <t>IMPORTADA</t>
  </si>
  <si>
    <t>Contenido Mn en chatarra</t>
  </si>
  <si>
    <t>Contenido de Mn en Acero</t>
  </si>
  <si>
    <t>Mn</t>
  </si>
  <si>
    <t>O</t>
  </si>
  <si>
    <t>COMPACTADA</t>
  </si>
  <si>
    <t>CHATARRA TIPO A</t>
  </si>
  <si>
    <t>CHATARRA TIPO AG</t>
  </si>
  <si>
    <t>CHATARRA TIPO B</t>
  </si>
  <si>
    <t>CHATARRA TIPO C</t>
  </si>
  <si>
    <t>IMPORTADA SHEADER</t>
  </si>
  <si>
    <t>ARRABIO SOLIDO</t>
  </si>
  <si>
    <t>PESADA</t>
  </si>
  <si>
    <t>% No metal</t>
  </si>
  <si>
    <t>Rend CC3</t>
  </si>
  <si>
    <t xml:space="preserve">%Mix </t>
  </si>
  <si>
    <t>Consumo Liviana</t>
  </si>
  <si>
    <t>Consumo Pesada</t>
  </si>
  <si>
    <t>Consumo Oxicorte</t>
  </si>
  <si>
    <t>Consumo Cizalla</t>
  </si>
  <si>
    <t>Consumo Fragmentada (Imp.)</t>
  </si>
  <si>
    <t>Consumo Compactada</t>
  </si>
  <si>
    <t>CONSUMO - ARRABIO</t>
  </si>
  <si>
    <t>SUB TOTAL</t>
  </si>
  <si>
    <t>CONSUMO - Tipo A</t>
  </si>
  <si>
    <t>CONSUMO - Tipo AG/AP</t>
  </si>
  <si>
    <t>CONSUMO - Tipo B</t>
  </si>
  <si>
    <t>%Mix</t>
  </si>
  <si>
    <t>Analisis de tierra</t>
  </si>
  <si>
    <t>S</t>
  </si>
  <si>
    <t>P/C</t>
  </si>
  <si>
    <t>P2O5</t>
  </si>
  <si>
    <t>Oxicorte</t>
  </si>
  <si>
    <t>Cizallada</t>
  </si>
  <si>
    <t>HARSCO</t>
  </si>
  <si>
    <t>Contenido de Al2O3</t>
  </si>
  <si>
    <t>Contenido de MgO</t>
  </si>
  <si>
    <t>Contenido de MnO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</si>
  <si>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</si>
  <si>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</si>
  <si>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</si>
  <si>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</si>
  <si>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</si>
  <si>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</si>
  <si>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</si>
  <si>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</si>
  <si>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</si>
  <si>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Componente</t>
  </si>
  <si>
    <t>Total tierra</t>
  </si>
  <si>
    <t>T° Liquidus</t>
  </si>
  <si>
    <t>Adición de Briquetas MgO</t>
  </si>
  <si>
    <t>Contenido de Mn en Chatarra</t>
  </si>
  <si>
    <t>MnO en escoria</t>
  </si>
  <si>
    <t>Oxidación Fe</t>
  </si>
  <si>
    <t>+</t>
  </si>
  <si>
    <t>=</t>
  </si>
  <si>
    <t>O2 inyectado</t>
  </si>
  <si>
    <t>Mn en el Acero</t>
  </si>
  <si>
    <t>P en el Acero</t>
  </si>
  <si>
    <t>OxidacIón Mn</t>
  </si>
  <si>
    <t>2P</t>
  </si>
  <si>
    <t>2O</t>
  </si>
  <si>
    <t>Oxidación P</t>
  </si>
  <si>
    <t>5O</t>
  </si>
  <si>
    <t>OxidacIón Si</t>
  </si>
  <si>
    <t>Si</t>
  </si>
  <si>
    <t>S(Tierra) en el Acero</t>
  </si>
  <si>
    <t>Fe</t>
  </si>
  <si>
    <t>C</t>
  </si>
  <si>
    <t>CO</t>
  </si>
  <si>
    <t>Contenido de P2O5</t>
  </si>
  <si>
    <t>Liviana</t>
  </si>
  <si>
    <t>Compactada</t>
  </si>
  <si>
    <t>BOX 1 (HARSCO)</t>
  </si>
  <si>
    <t>BOX 2 (CIZALLA)</t>
  </si>
  <si>
    <t>BOX 3 (COMPACTADA Y OXICORTE)</t>
  </si>
  <si>
    <t>BOX 4 (FRAGMENTADA)</t>
  </si>
  <si>
    <t>BOX 5 (DIRECTA)</t>
  </si>
  <si>
    <t>Fe metal</t>
  </si>
  <si>
    <t>BOX1</t>
  </si>
  <si>
    <t>BOX2</t>
  </si>
  <si>
    <t>BOX3</t>
  </si>
  <si>
    <t>BOX4</t>
  </si>
  <si>
    <t>BOX5</t>
  </si>
  <si>
    <t>Fragmentada</t>
  </si>
  <si>
    <t>PPC</t>
  </si>
  <si>
    <t>liva</t>
  </si>
  <si>
    <t>pesa</t>
  </si>
  <si>
    <t>compaq</t>
  </si>
  <si>
    <t>OxidacIón Al</t>
  </si>
  <si>
    <t>2Al</t>
  </si>
  <si>
    <t>3O</t>
  </si>
  <si>
    <t>FeSiMn</t>
  </si>
  <si>
    <t>FeSi75</t>
  </si>
  <si>
    <t>Carburante</t>
  </si>
  <si>
    <t>Consumo O</t>
  </si>
  <si>
    <t>O en Acero</t>
  </si>
  <si>
    <t>kg</t>
  </si>
  <si>
    <t>O HC</t>
  </si>
  <si>
    <t>Calcica</t>
  </si>
  <si>
    <t>Olivina</t>
  </si>
  <si>
    <t>Adiciones en el sangrado</t>
  </si>
  <si>
    <t>Adiciones en HC</t>
  </si>
  <si>
    <t>CaF2</t>
  </si>
  <si>
    <t>Reducción Mn</t>
  </si>
  <si>
    <t>Reducción Fe</t>
  </si>
  <si>
    <t>EscoriaInicial</t>
  </si>
  <si>
    <t>Escoriafinal</t>
  </si>
  <si>
    <t>Polvos</t>
  </si>
  <si>
    <t>Refractario</t>
  </si>
  <si>
    <t>Consumo</t>
  </si>
  <si>
    <t xml:space="preserve">Desgaste </t>
  </si>
  <si>
    <t>Día</t>
  </si>
  <si>
    <t>Precio</t>
  </si>
  <si>
    <t>VOLUMEN UTIL HORNO</t>
  </si>
  <si>
    <t>VOLUMEN UTIL CESTA</t>
  </si>
  <si>
    <t>m3</t>
  </si>
  <si>
    <t>Densidad (t/m3)</t>
  </si>
  <si>
    <t>Volumen (m3)</t>
  </si>
  <si>
    <t>Volumen 1°</t>
  </si>
  <si>
    <t>Peso 1°</t>
  </si>
  <si>
    <t>Volumen 2°</t>
  </si>
  <si>
    <t>Peso 2°</t>
  </si>
  <si>
    <t>%</t>
  </si>
  <si>
    <t>Volumen 3°</t>
  </si>
  <si>
    <t>Peso 3°</t>
  </si>
  <si>
    <t>Volumen 4°</t>
  </si>
  <si>
    <t>Peso 4°</t>
  </si>
  <si>
    <t>Hoot Heel</t>
  </si>
  <si>
    <t>t</t>
  </si>
  <si>
    <t>Volumen Ocupado</t>
  </si>
  <si>
    <t>Volumen restante</t>
  </si>
  <si>
    <t>Necesidad</t>
  </si>
  <si>
    <t xml:space="preserve"> </t>
  </si>
  <si>
    <t>Rend</t>
  </si>
  <si>
    <t>Operacio</t>
  </si>
  <si>
    <t>C.T.</t>
  </si>
  <si>
    <t>palanqu</t>
  </si>
  <si>
    <t>Residuo</t>
  </si>
  <si>
    <t>Ratio (kg/t)</t>
  </si>
  <si>
    <t>Nm3</t>
  </si>
  <si>
    <t>Impurezas</t>
  </si>
  <si>
    <t>Nacion</t>
  </si>
  <si>
    <t>No Metal</t>
  </si>
  <si>
    <t>CaC2</t>
  </si>
  <si>
    <t>2 FeO</t>
  </si>
  <si>
    <t>2 Fe</t>
  </si>
  <si>
    <t>2 CO</t>
  </si>
  <si>
    <t>3 FeO</t>
  </si>
  <si>
    <t>3 Fe</t>
  </si>
  <si>
    <t>RIELES</t>
  </si>
  <si>
    <t>TUBERIA</t>
  </si>
  <si>
    <t>LINGOTERAS</t>
  </si>
  <si>
    <t>CHATARRA HARSCO</t>
  </si>
  <si>
    <t>Aceria</t>
  </si>
  <si>
    <t>P</t>
  </si>
  <si>
    <t>Cr</t>
  </si>
  <si>
    <t>Cu</t>
  </si>
  <si>
    <t>Ni</t>
  </si>
  <si>
    <t>Mo</t>
  </si>
  <si>
    <t>Oxidación Carbon</t>
  </si>
  <si>
    <t>Inicial</t>
  </si>
  <si>
    <t>Final</t>
  </si>
  <si>
    <t>C.Q.</t>
  </si>
  <si>
    <t>Cesta</t>
  </si>
  <si>
    <t>CO2</t>
  </si>
  <si>
    <t>Energía</t>
  </si>
  <si>
    <t>kWh</t>
  </si>
  <si>
    <t xml:space="preserve">Post </t>
  </si>
  <si>
    <t>Combustión</t>
  </si>
  <si>
    <t>CH4</t>
  </si>
  <si>
    <t>2O2</t>
  </si>
  <si>
    <t>Volumen 5°</t>
  </si>
  <si>
    <t>Peso 5°</t>
  </si>
  <si>
    <t>Composición Química de Mix</t>
  </si>
  <si>
    <t>2 O</t>
  </si>
  <si>
    <t>Rcc</t>
  </si>
  <si>
    <t>Rhe</t>
  </si>
  <si>
    <t>kwh/t</t>
  </si>
  <si>
    <t>consumo</t>
  </si>
  <si>
    <t>Peso a fundir</t>
  </si>
  <si>
    <t>Energia necesaria</t>
  </si>
  <si>
    <t>1cesta</t>
  </si>
  <si>
    <t>2cesta</t>
  </si>
  <si>
    <t>3cesta</t>
  </si>
  <si>
    <t>4cesta</t>
  </si>
  <si>
    <t>O cesta1</t>
  </si>
  <si>
    <t>O cesta2</t>
  </si>
  <si>
    <t>O cesta3</t>
  </si>
  <si>
    <t>O cesta4</t>
  </si>
  <si>
    <t>O2 lanza</t>
  </si>
  <si>
    <t>Energía Química</t>
  </si>
  <si>
    <t>Energía Eléctrica</t>
  </si>
  <si>
    <t>Volumen restante Horno</t>
  </si>
  <si>
    <t>Chatarra</t>
  </si>
  <si>
    <t>Química</t>
  </si>
  <si>
    <t>Eléctrica</t>
  </si>
  <si>
    <t>MVA</t>
  </si>
  <si>
    <t>KWh</t>
  </si>
  <si>
    <t>min</t>
  </si>
  <si>
    <t>Pon</t>
  </si>
  <si>
    <t>Potencia media</t>
  </si>
  <si>
    <t>PQ Importada</t>
  </si>
  <si>
    <t>GAP</t>
  </si>
  <si>
    <t>Ferros</t>
  </si>
  <si>
    <t>CIZALLA</t>
  </si>
  <si>
    <t>Gases</t>
  </si>
  <si>
    <t>ALTO RESIDUAL</t>
  </si>
  <si>
    <t>ARRABIO</t>
  </si>
  <si>
    <t>´+</t>
  </si>
  <si>
    <t>´=</t>
  </si>
  <si>
    <t>Total SiO2</t>
  </si>
  <si>
    <t>CHATARRA HARSO</t>
  </si>
  <si>
    <t>Densidad cesta</t>
  </si>
  <si>
    <t>Energía kwh</t>
  </si>
  <si>
    <t>Volumen necesario</t>
  </si>
  <si>
    <t>KWh/t</t>
  </si>
  <si>
    <t>Poff</t>
  </si>
  <si>
    <t>TTT</t>
  </si>
  <si>
    <t>Productividad (t/h)</t>
  </si>
  <si>
    <t>(min)</t>
  </si>
  <si>
    <t>N° Coladas</t>
  </si>
  <si>
    <t>Tonelaje</t>
  </si>
  <si>
    <t>Potencia Promedio</t>
  </si>
  <si>
    <t>Energía para fundir el Mix de Chatarra</t>
  </si>
  <si>
    <t>PESADA IMPORTADA</t>
  </si>
  <si>
    <t>Densidad</t>
  </si>
  <si>
    <t>Inventario</t>
  </si>
  <si>
    <t>MAX</t>
  </si>
  <si>
    <t>MIN</t>
  </si>
  <si>
    <t>Lifeline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</si>
</sst>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_ * #,##0.00_ ;_ * \-#,##0.00_ ;_ * &quot;-&quot;??_ ;_ @_ "/>
    <numFmt numFmtId="165" formatCode="0.0"/>
    <numFmt numFmtId="166" formatCode="0\ &quot;kg&quot;"/>
    <numFmt numFmtId="167" formatCode="0.0\ &quot;kg&quot;"/>
    <numFmt numFmtId="168" formatCode="0\ &quot;Nm3&quot;"/>
    <numFmt numFmtId="169" formatCode="0.0%"/>
    <numFmt numFmtId="170" formatCode="0.000"/>
    <numFmt numFmtId="171" formatCode="0.0\ &quot;t&quot;"/>
    <numFmt numFmtId="172" formatCode="0.0000"/>
    <numFmt numFmtId="173" formatCode="0.0\ &quot;Nm3&quot;"/>
    <numFmt numFmtId="174" formatCode="0\ &quot;°C&quot;"/>
    <numFmt numFmtId="175" formatCode="0.000%"/>
    <numFmt numFmtId="176" formatCode="_ * #,##0_ ;_ * \-#,##0_ ;_ * &quot;-&quot;??_ ;_ @_ "/>
    <numFmt numFmtId="177" formatCode="_ * #,##0.0_ ;_ * \-#,##0.0_ ;_ * &quot;-&quot;??_ ;_ @_ 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9"/>
      <color indexed="81"/>
      <name val="Tahoma"/>
      <family val="2"/>
    </font>
    <font>
      <b/>
      <i/>
      <sz val="11"/>
      <color rgb="FFFF0000"/>
      <name val="Calibri"/>
      <family val="2"/>
      <scheme val="minor"/>
    </font>
    <font>
      <i/>
      <sz val="8"/>
      <color theme="1"/>
      <name val="Calibri"/>
      <family val="2"/>
      <scheme val="minor"/>
    </font>
    <font>
      <u/>
      <sz val="11"/>
      <color rgb="FF00206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2"/>
      <name val="Times New Roman"/>
      <family val="1"/>
    </font>
    <font>
      <sz val="12"/>
      <name val="Arial"/>
      <family val="2"/>
    </font>
    <font>
      <sz val="12"/>
      <name val="Arial"/>
      <family val="2"/>
    </font>
    <font>
      <i/>
      <sz val="6"/>
      <color rgb="FFFF0000"/>
      <name val="Calibri"/>
      <family val="2"/>
      <scheme val="minor"/>
    </font>
    <font>
      <i/>
      <sz val="6"/>
      <color rgb="FF0070C0"/>
      <name val="Calibri"/>
      <family val="2"/>
      <scheme val="minor"/>
    </font>
    <font>
      <sz val="10"/>
      <color theme="1"/>
      <name val="Arial Narrow"/>
      <family val="2"/>
    </font>
    <font>
      <b/>
      <i/>
      <sz val="10"/>
      <color rgb="FFFF0000"/>
      <name val="Arial Narrow"/>
      <family val="2"/>
    </font>
    <font>
      <b/>
      <sz val="10"/>
      <color rgb="FFFFFF00"/>
      <name val="Arial Narrow"/>
      <family val="2"/>
    </font>
    <font>
      <b/>
      <u/>
      <sz val="10"/>
      <color rgb="FFFF0000"/>
      <name val="Arial Narrow"/>
      <family val="2"/>
    </font>
    <font>
      <i/>
      <sz val="10"/>
      <color rgb="FFFF0000"/>
      <name val="Arial Narrow"/>
      <family val="2"/>
    </font>
    <font>
      <i/>
      <sz val="10"/>
      <color rgb="FF0070C0"/>
      <name val="Arial Narrow"/>
      <family val="2"/>
    </font>
    <font>
      <b/>
      <i/>
      <sz val="10"/>
      <color theme="1"/>
      <name val="Arial Narrow"/>
      <family val="2"/>
    </font>
    <font>
      <u/>
      <sz val="10"/>
      <color rgb="FF002060"/>
      <name val="Arial Narrow"/>
      <family val="2"/>
    </font>
    <font>
      <sz val="10"/>
      <color theme="0"/>
      <name val="Arial Narrow"/>
      <family val="2"/>
    </font>
    <font>
      <b/>
      <sz val="10"/>
      <color theme="0"/>
      <name val="Arial Narrow"/>
      <family val="2"/>
    </font>
    <font>
      <b/>
      <sz val="10"/>
      <color rgb="FFFF0000"/>
      <name val="Arial Narrow"/>
      <family val="2"/>
    </font>
    <font>
      <b/>
      <sz val="11"/>
      <color rgb="FFFF0000"/>
      <name val="Arial Narrow"/>
      <family val="2"/>
    </font>
    <font>
      <b/>
      <sz val="11"/>
      <color rgb="FFFFFF00"/>
      <name val="Arial Narrow"/>
      <family val="2"/>
    </font>
    <font>
      <b/>
      <sz val="10"/>
      <color rgb="FF002060"/>
      <name val="Arial Narrow"/>
      <family val="2"/>
    </font>
    <font>
      <b/>
      <i/>
      <sz val="10"/>
      <color rgb="FF0070C0"/>
      <name val="Arial Narrow"/>
      <family val="2"/>
    </font>
    <font>
      <b/>
      <i/>
      <sz val="10"/>
      <color rgb="FFFFFF00"/>
      <name val="Arial Narrow"/>
      <family val="2"/>
    </font>
    <font>
      <sz val="10"/>
      <color rgb="FFFFFF00"/>
      <name val="Arial Narrow"/>
      <family val="2"/>
    </font>
    <font>
      <b/>
      <sz val="8"/>
      <color indexed="81"/>
      <name val="Tahoma"/>
      <family val="2"/>
    </font>
    <font>
      <sz val="12"/>
      <color rgb="FFFFFF00"/>
      <name val="Arial Narrow"/>
      <family val="2"/>
    </font>
    <font>
      <b/>
      <sz val="10"/>
      <color theme="0" tint="-4.9989318521683403E-2"/>
      <name val="Arial Narrow"/>
      <family val="2"/>
    </font>
    <font>
      <b/>
      <u/>
      <sz val="10"/>
      <color theme="1"/>
      <name val="Arial Narrow"/>
      <family val="2"/>
    </font>
    <font>
      <b/>
      <sz val="11"/>
      <color rgb="FF002060"/>
      <name val="Arial Narrow"/>
      <family val="2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u/>
      <sz val="10"/>
      <color theme="3" tint="0.39997558519241921"/>
      <name val="Arial Narrow"/>
      <family val="2"/>
    </font>
    <font>
      <b/>
      <u/>
      <sz val="10"/>
      <color rgb="FFC00000"/>
      <name val="Arial Narrow"/>
      <family val="2"/>
    </font>
    <font>
      <b/>
      <sz val="10"/>
      <color rgb="FF0070C0"/>
      <name val="Arial Narrow"/>
      <family val="2"/>
    </font>
    <font>
      <sz val="8"/>
      <color indexed="81"/>
      <name val="Tahoma"/>
      <family val="2"/>
    </font>
    <font>
      <b/>
      <u val="singleAccounting"/>
      <sz val="12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u/>
      <sz val="11"/>
      <color theme="1"/>
      <name val="Arial Narrow"/>
      <family val="2"/>
    </font>
    <font>
      <u/>
      <sz val="11"/>
      <color theme="4" tint="-0.499984740745262"/>
      <name val="Calibri"/>
      <family val="2"/>
      <scheme val="minor"/>
    </font>
    <font>
      <sz val="12"/>
      <color theme="1"/>
      <name val="Barlow Light"/>
    </font>
    <font>
      <sz val="14"/>
      <color rgb="FF0070C0"/>
      <name val="Barlow Light"/>
    </font>
    <font>
      <sz val="12"/>
      <color rgb="FF0070C0"/>
      <name val="Barlow Light"/>
    </font>
    <font>
      <b/>
      <sz val="16"/>
      <color rgb="FF0070C0"/>
      <name val="Barlow Light"/>
    </font>
    <font>
      <b/>
      <sz val="12"/>
      <color rgb="FF0070C0"/>
      <name val="Barlow Light"/>
    </font>
    <font>
      <sz val="11"/>
      <color rgb="FF0070C0"/>
      <name val="Calibri"/>
      <family val="2"/>
      <scheme val="minor"/>
    </font>
    <font>
      <sz val="11"/>
      <color theme="1"/>
      <name val="Arial Narrow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0" tint="-4.9989318521683403E-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rgb="FFFF0000"/>
      </bottom>
      <diagonal/>
    </border>
    <border>
      <left style="double">
        <color rgb="FF00B050"/>
      </left>
      <right/>
      <top style="double">
        <color rgb="FF00B050"/>
      </top>
      <bottom style="double">
        <color rgb="FF00B050"/>
      </bottom>
      <diagonal/>
    </border>
    <border>
      <left/>
      <right/>
      <top style="double">
        <color rgb="FF00B050"/>
      </top>
      <bottom style="double">
        <color rgb="FF00B050"/>
      </bottom>
      <diagonal/>
    </border>
    <border>
      <left/>
      <right style="double">
        <color rgb="FF00B050"/>
      </right>
      <top style="double">
        <color rgb="FF00B050"/>
      </top>
      <bottom style="double">
        <color rgb="FF00B05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4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166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2" fontId="0" fillId="0" borderId="0" xfId="0" applyNumberFormat="1" applyAlignment="1">
      <alignment horizontal="center"/>
    </xf>
    <xf numFmtId="166" fontId="6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9" fontId="0" fillId="0" borderId="0" xfId="1" applyNumberFormat="1" applyFont="1" applyAlignment="1">
      <alignment horizontal="center"/>
    </xf>
    <xf numFmtId="0" fontId="0" fillId="0" borderId="0" xfId="1" applyNumberFormat="1" applyFont="1" applyAlignment="1">
      <alignment horizontal="center"/>
    </xf>
    <xf numFmtId="170" fontId="0" fillId="0" borderId="0" xfId="0" applyNumberFormat="1" applyAlignment="1">
      <alignment horizontal="center"/>
    </xf>
    <xf numFmtId="0" fontId="7" fillId="3" borderId="0" xfId="0" applyFont="1" applyFill="1" applyAlignment="1">
      <alignment horizontal="center"/>
    </xf>
    <xf numFmtId="169" fontId="7" fillId="3" borderId="0" xfId="1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65" fontId="8" fillId="2" borderId="0" xfId="0" applyNumberFormat="1" applyFont="1" applyFill="1" applyAlignment="1">
      <alignment horizontal="center"/>
    </xf>
    <xf numFmtId="0" fontId="10" fillId="4" borderId="2" xfId="2" applyFont="1" applyFill="1" applyBorder="1" applyAlignment="1">
      <alignment vertical="center"/>
    </xf>
    <xf numFmtId="0" fontId="11" fillId="4" borderId="0" xfId="2" applyFont="1" applyFill="1" applyAlignment="1">
      <alignment vertical="center"/>
    </xf>
    <xf numFmtId="0" fontId="11" fillId="4" borderId="2" xfId="2" applyFont="1" applyFill="1" applyBorder="1" applyAlignment="1">
      <alignment vertical="center"/>
    </xf>
    <xf numFmtId="165" fontId="11" fillId="4" borderId="1" xfId="2" applyNumberFormat="1" applyFont="1" applyFill="1" applyBorder="1" applyAlignment="1">
      <alignment vertical="center"/>
    </xf>
    <xf numFmtId="0" fontId="10" fillId="4" borderId="2" xfId="2" applyFont="1" applyFill="1" applyBorder="1" applyAlignment="1">
      <alignment vertical="center" wrapText="1"/>
    </xf>
    <xf numFmtId="0" fontId="10" fillId="4" borderId="0" xfId="2" applyFont="1" applyFill="1" applyBorder="1" applyAlignment="1">
      <alignment vertical="center" wrapText="1"/>
    </xf>
    <xf numFmtId="10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166" fontId="15" fillId="0" borderId="0" xfId="0" applyNumberFormat="1" applyFont="1" applyAlignment="1">
      <alignment horizontal="center"/>
    </xf>
    <xf numFmtId="0" fontId="14" fillId="0" borderId="0" xfId="0" applyFont="1" applyAlignment="1">
      <alignment horizontal="left"/>
    </xf>
    <xf numFmtId="165" fontId="14" fillId="0" borderId="0" xfId="0" applyNumberFormat="1" applyFont="1" applyAlignment="1">
      <alignment horizontal="center"/>
    </xf>
    <xf numFmtId="169" fontId="14" fillId="0" borderId="0" xfId="1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169" fontId="14" fillId="0" borderId="0" xfId="0" applyNumberFormat="1" applyFont="1" applyAlignment="1">
      <alignment horizontal="center"/>
    </xf>
    <xf numFmtId="166" fontId="14" fillId="0" borderId="0" xfId="0" applyNumberFormat="1" applyFont="1" applyAlignment="1">
      <alignment horizontal="center"/>
    </xf>
    <xf numFmtId="172" fontId="14" fillId="0" borderId="0" xfId="0" applyNumberFormat="1" applyFont="1" applyAlignment="1">
      <alignment horizontal="center"/>
    </xf>
    <xf numFmtId="170" fontId="14" fillId="0" borderId="0" xfId="0" applyNumberFormat="1" applyFont="1" applyAlignment="1">
      <alignment horizontal="center"/>
    </xf>
    <xf numFmtId="0" fontId="17" fillId="2" borderId="0" xfId="0" applyFont="1" applyFill="1" applyAlignment="1">
      <alignment horizontal="center"/>
    </xf>
    <xf numFmtId="165" fontId="17" fillId="2" borderId="0" xfId="0" applyNumberFormat="1" applyFont="1" applyFill="1" applyAlignment="1">
      <alignment horizontal="center"/>
    </xf>
    <xf numFmtId="0" fontId="18" fillId="0" borderId="0" xfId="0" applyFont="1" applyAlignment="1">
      <alignment horizontal="left"/>
    </xf>
    <xf numFmtId="10" fontId="14" fillId="0" borderId="0" xfId="0" applyNumberFormat="1" applyFont="1" applyAlignment="1">
      <alignment horizontal="center"/>
    </xf>
    <xf numFmtId="167" fontId="14" fillId="0" borderId="0" xfId="0" applyNumberFormat="1" applyFont="1" applyAlignment="1">
      <alignment horizontal="center"/>
    </xf>
    <xf numFmtId="0" fontId="19" fillId="0" borderId="0" xfId="0" applyFont="1" applyAlignment="1">
      <alignment horizontal="left"/>
    </xf>
    <xf numFmtId="168" fontId="14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center"/>
    </xf>
    <xf numFmtId="166" fontId="20" fillId="0" borderId="0" xfId="0" applyNumberFormat="1" applyFont="1" applyAlignment="1">
      <alignment horizontal="center"/>
    </xf>
    <xf numFmtId="0" fontId="15" fillId="0" borderId="0" xfId="0" applyFont="1" applyAlignment="1">
      <alignment horizontal="left"/>
    </xf>
    <xf numFmtId="0" fontId="21" fillId="3" borderId="0" xfId="0" applyFont="1" applyFill="1" applyAlignment="1">
      <alignment horizontal="center"/>
    </xf>
    <xf numFmtId="169" fontId="21" fillId="3" borderId="0" xfId="1" applyNumberFormat="1" applyFont="1" applyFill="1" applyAlignment="1">
      <alignment horizontal="center"/>
    </xf>
    <xf numFmtId="0" fontId="22" fillId="6" borderId="0" xfId="0" applyFont="1" applyFill="1" applyAlignment="1">
      <alignment horizontal="left"/>
    </xf>
    <xf numFmtId="0" fontId="22" fillId="6" borderId="0" xfId="0" applyFont="1" applyFill="1" applyAlignment="1">
      <alignment horizontal="center"/>
    </xf>
    <xf numFmtId="0" fontId="14" fillId="8" borderId="1" xfId="0" applyFont="1" applyFill="1" applyBorder="1" applyAlignment="1">
      <alignment horizontal="center"/>
    </xf>
    <xf numFmtId="0" fontId="14" fillId="7" borderId="1" xfId="0" applyFont="1" applyFill="1" applyBorder="1" applyAlignment="1">
      <alignment horizontal="center"/>
    </xf>
    <xf numFmtId="10" fontId="14" fillId="0" borderId="1" xfId="1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23" fillId="10" borderId="0" xfId="0" applyFont="1" applyFill="1" applyAlignment="1">
      <alignment horizontal="center"/>
    </xf>
    <xf numFmtId="173" fontId="16" fillId="5" borderId="0" xfId="0" applyNumberFormat="1" applyFont="1" applyFill="1" applyAlignment="1">
      <alignment horizontal="center"/>
    </xf>
    <xf numFmtId="171" fontId="26" fillId="5" borderId="0" xfId="0" applyNumberFormat="1" applyFont="1" applyFill="1" applyAlignment="1">
      <alignment horizontal="center"/>
    </xf>
    <xf numFmtId="0" fontId="27" fillId="9" borderId="1" xfId="0" applyFont="1" applyFill="1" applyBorder="1" applyAlignment="1">
      <alignment horizontal="center"/>
    </xf>
    <xf numFmtId="165" fontId="25" fillId="2" borderId="1" xfId="0" applyNumberFormat="1" applyFont="1" applyFill="1" applyBorder="1" applyAlignment="1">
      <alignment horizontal="center"/>
    </xf>
    <xf numFmtId="169" fontId="24" fillId="2" borderId="1" xfId="1" applyNumberFormat="1" applyFont="1" applyFill="1" applyBorder="1" applyAlignment="1">
      <alignment horizontal="center"/>
    </xf>
    <xf numFmtId="166" fontId="15" fillId="2" borderId="0" xfId="0" applyNumberFormat="1" applyFont="1" applyFill="1" applyAlignment="1">
      <alignment horizontal="center"/>
    </xf>
    <xf numFmtId="166" fontId="29" fillId="5" borderId="0" xfId="0" applyNumberFormat="1" applyFont="1" applyFill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166" fontId="14" fillId="0" borderId="6" xfId="0" applyNumberFormat="1" applyFont="1" applyBorder="1" applyAlignment="1">
      <alignment horizontal="center"/>
    </xf>
    <xf numFmtId="166" fontId="14" fillId="0" borderId="0" xfId="0" applyNumberFormat="1" applyFont="1" applyBorder="1" applyAlignment="1">
      <alignment horizontal="center"/>
    </xf>
    <xf numFmtId="166" fontId="14" fillId="0" borderId="7" xfId="0" applyNumberFormat="1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168" fontId="14" fillId="0" borderId="9" xfId="0" applyNumberFormat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10" fontId="14" fillId="0" borderId="6" xfId="0" applyNumberFormat="1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165" fontId="14" fillId="0" borderId="9" xfId="0" applyNumberFormat="1" applyFont="1" applyBorder="1" applyAlignment="1">
      <alignment horizontal="center"/>
    </xf>
    <xf numFmtId="165" fontId="14" fillId="0" borderId="10" xfId="0" applyNumberFormat="1" applyFont="1" applyBorder="1" applyAlignment="1">
      <alignment horizontal="center"/>
    </xf>
    <xf numFmtId="166" fontId="29" fillId="5" borderId="6" xfId="0" applyNumberFormat="1" applyFont="1" applyFill="1" applyBorder="1" applyAlignment="1">
      <alignment horizontal="center"/>
    </xf>
    <xf numFmtId="166" fontId="29" fillId="5" borderId="7" xfId="0" applyNumberFormat="1" applyFont="1" applyFill="1" applyBorder="1" applyAlignment="1">
      <alignment horizontal="center"/>
    </xf>
    <xf numFmtId="0" fontId="14" fillId="0" borderId="0" xfId="0" quotePrefix="1" applyFont="1" applyBorder="1" applyAlignment="1">
      <alignment horizontal="center"/>
    </xf>
    <xf numFmtId="2" fontId="28" fillId="9" borderId="1" xfId="0" applyNumberFormat="1" applyFont="1" applyFill="1" applyBorder="1" applyAlignment="1">
      <alignment horizontal="center"/>
    </xf>
    <xf numFmtId="0" fontId="28" fillId="9" borderId="1" xfId="0" applyFont="1" applyFill="1" applyBorder="1" applyAlignment="1">
      <alignment horizontal="center"/>
    </xf>
    <xf numFmtId="167" fontId="30" fillId="11" borderId="1" xfId="0" applyNumberFormat="1" applyFont="1" applyFill="1" applyBorder="1" applyAlignment="1">
      <alignment horizontal="center"/>
    </xf>
    <xf numFmtId="168" fontId="14" fillId="0" borderId="0" xfId="0" applyNumberFormat="1" applyFont="1" applyBorder="1" applyAlignment="1">
      <alignment horizontal="center"/>
    </xf>
    <xf numFmtId="0" fontId="32" fillId="11" borderId="0" xfId="0" applyFont="1" applyFill="1" applyAlignment="1">
      <alignment horizontal="center"/>
    </xf>
    <xf numFmtId="165" fontId="32" fillId="11" borderId="0" xfId="0" applyNumberFormat="1" applyFont="1" applyFill="1" applyAlignment="1">
      <alignment horizontal="center"/>
    </xf>
    <xf numFmtId="165" fontId="25" fillId="2" borderId="2" xfId="0" applyNumberFormat="1" applyFont="1" applyFill="1" applyBorder="1" applyAlignment="1">
      <alignment horizontal="center"/>
    </xf>
    <xf numFmtId="0" fontId="27" fillId="9" borderId="2" xfId="0" applyFont="1" applyFill="1" applyBorder="1" applyAlignment="1">
      <alignment horizontal="center"/>
    </xf>
    <xf numFmtId="174" fontId="25" fillId="2" borderId="2" xfId="0" applyNumberFormat="1" applyFont="1" applyFill="1" applyBorder="1" applyAlignment="1">
      <alignment horizontal="center"/>
    </xf>
    <xf numFmtId="169" fontId="14" fillId="0" borderId="1" xfId="1" applyNumberFormat="1" applyFont="1" applyBorder="1" applyAlignment="1">
      <alignment horizontal="center"/>
    </xf>
    <xf numFmtId="165" fontId="14" fillId="0" borderId="1" xfId="1" applyNumberFormat="1" applyFont="1" applyBorder="1" applyAlignment="1">
      <alignment horizontal="center"/>
    </xf>
    <xf numFmtId="175" fontId="14" fillId="0" borderId="0" xfId="1" applyNumberFormat="1" applyFont="1" applyAlignment="1">
      <alignment horizontal="center"/>
    </xf>
    <xf numFmtId="1" fontId="0" fillId="0" borderId="0" xfId="0" applyNumberFormat="1"/>
    <xf numFmtId="165" fontId="0" fillId="0" borderId="0" xfId="0" applyNumberFormat="1"/>
    <xf numFmtId="167" fontId="14" fillId="0" borderId="0" xfId="0" applyNumberFormat="1" applyFont="1" applyBorder="1" applyAlignment="1">
      <alignment horizontal="center"/>
    </xf>
    <xf numFmtId="169" fontId="27" fillId="12" borderId="0" xfId="0" applyNumberFormat="1" applyFont="1" applyFill="1" applyAlignment="1">
      <alignment horizontal="center"/>
    </xf>
    <xf numFmtId="165" fontId="27" fillId="12" borderId="0" xfId="0" applyNumberFormat="1" applyFont="1" applyFill="1" applyAlignment="1">
      <alignment horizontal="center"/>
    </xf>
    <xf numFmtId="0" fontId="34" fillId="0" borderId="0" xfId="0" applyFont="1" applyAlignment="1">
      <alignment horizontal="center"/>
    </xf>
    <xf numFmtId="165" fontId="24" fillId="12" borderId="0" xfId="0" applyNumberFormat="1" applyFont="1" applyFill="1" applyAlignment="1">
      <alignment horizontal="center"/>
    </xf>
    <xf numFmtId="9" fontId="14" fillId="0" borderId="0" xfId="1" applyFont="1" applyAlignment="1">
      <alignment horizontal="center"/>
    </xf>
    <xf numFmtId="0" fontId="34" fillId="2" borderId="0" xfId="0" applyFont="1" applyFill="1" applyAlignment="1">
      <alignment horizontal="center"/>
    </xf>
    <xf numFmtId="165" fontId="14" fillId="2" borderId="0" xfId="0" applyNumberFormat="1" applyFont="1" applyFill="1" applyAlignment="1">
      <alignment horizontal="center"/>
    </xf>
    <xf numFmtId="165" fontId="35" fillId="13" borderId="0" xfId="0" applyNumberFormat="1" applyFont="1" applyFill="1" applyAlignment="1">
      <alignment horizontal="center"/>
    </xf>
    <xf numFmtId="0" fontId="36" fillId="0" borderId="0" xfId="0" applyFont="1"/>
    <xf numFmtId="165" fontId="36" fillId="0" borderId="0" xfId="0" applyNumberFormat="1" applyFont="1" applyAlignment="1">
      <alignment horizontal="center"/>
    </xf>
    <xf numFmtId="0" fontId="37" fillId="0" borderId="0" xfId="0" applyFont="1"/>
    <xf numFmtId="165" fontId="37" fillId="0" borderId="0" xfId="0" applyNumberFormat="1" applyFont="1" applyAlignment="1">
      <alignment horizontal="center"/>
    </xf>
    <xf numFmtId="0" fontId="14" fillId="14" borderId="0" xfId="0" applyFont="1" applyFill="1" applyAlignment="1">
      <alignment horizontal="left"/>
    </xf>
    <xf numFmtId="0" fontId="14" fillId="13" borderId="0" xfId="0" applyFont="1" applyFill="1" applyAlignment="1">
      <alignment horizontal="left"/>
    </xf>
    <xf numFmtId="0" fontId="14" fillId="8" borderId="0" xfId="0" applyFont="1" applyFill="1" applyAlignment="1">
      <alignment horizontal="left"/>
    </xf>
    <xf numFmtId="0" fontId="14" fillId="15" borderId="0" xfId="0" applyFont="1" applyFill="1" applyAlignment="1">
      <alignment horizontal="left"/>
    </xf>
    <xf numFmtId="0" fontId="14" fillId="16" borderId="0" xfId="0" applyFont="1" applyFill="1" applyAlignment="1">
      <alignment horizontal="left"/>
    </xf>
    <xf numFmtId="0" fontId="14" fillId="17" borderId="0" xfId="0" applyFont="1" applyFill="1" applyAlignment="1">
      <alignment horizontal="left"/>
    </xf>
    <xf numFmtId="0" fontId="14" fillId="18" borderId="0" xfId="0" applyFont="1" applyFill="1" applyAlignment="1">
      <alignment horizontal="left"/>
    </xf>
    <xf numFmtId="165" fontId="14" fillId="0" borderId="0" xfId="0" applyNumberFormat="1" applyFont="1" applyAlignment="1">
      <alignment horizontal="left"/>
    </xf>
    <xf numFmtId="165" fontId="38" fillId="2" borderId="0" xfId="0" applyNumberFormat="1" applyFont="1" applyFill="1" applyAlignment="1">
      <alignment horizontal="center"/>
    </xf>
    <xf numFmtId="165" fontId="25" fillId="19" borderId="0" xfId="0" applyNumberFormat="1" applyFont="1" applyFill="1" applyAlignment="1">
      <alignment horizontal="center"/>
    </xf>
    <xf numFmtId="164" fontId="0" fillId="0" borderId="0" xfId="4" applyFont="1"/>
    <xf numFmtId="164" fontId="0" fillId="0" borderId="0" xfId="0" applyNumberFormat="1"/>
    <xf numFmtId="176" fontId="0" fillId="0" borderId="0" xfId="4" applyNumberFormat="1" applyFont="1"/>
    <xf numFmtId="169" fontId="0" fillId="0" borderId="0" xfId="1" applyNumberFormat="1" applyFont="1"/>
    <xf numFmtId="0" fontId="39" fillId="2" borderId="0" xfId="0" applyFont="1" applyFill="1" applyAlignment="1">
      <alignment horizontal="center"/>
    </xf>
    <xf numFmtId="165" fontId="39" fillId="2" borderId="0" xfId="0" applyNumberFormat="1" applyFont="1" applyFill="1" applyAlignment="1">
      <alignment horizontal="center"/>
    </xf>
    <xf numFmtId="0" fontId="40" fillId="2" borderId="0" xfId="0" applyFont="1" applyFill="1" applyAlignment="1">
      <alignment horizontal="center"/>
    </xf>
    <xf numFmtId="165" fontId="40" fillId="2" borderId="0" xfId="0" applyNumberFormat="1" applyFont="1" applyFill="1" applyAlignment="1">
      <alignment horizontal="center"/>
    </xf>
    <xf numFmtId="0" fontId="24" fillId="0" borderId="0" xfId="0" applyFont="1" applyAlignment="1">
      <alignment horizontal="center"/>
    </xf>
    <xf numFmtId="166" fontId="24" fillId="0" borderId="0" xfId="0" applyNumberFormat="1" applyFont="1" applyAlignment="1">
      <alignment horizontal="center"/>
    </xf>
    <xf numFmtId="0" fontId="41" fillId="0" borderId="0" xfId="0" applyFont="1" applyAlignment="1">
      <alignment horizontal="center"/>
    </xf>
    <xf numFmtId="166" fontId="41" fillId="0" borderId="0" xfId="0" applyNumberFormat="1" applyFont="1" applyAlignment="1">
      <alignment horizontal="center"/>
    </xf>
    <xf numFmtId="0" fontId="41" fillId="2" borderId="0" xfId="0" applyFont="1" applyFill="1" applyAlignment="1">
      <alignment horizontal="center"/>
    </xf>
    <xf numFmtId="165" fontId="41" fillId="0" borderId="0" xfId="0" applyNumberFormat="1" applyFont="1" applyAlignment="1">
      <alignment horizontal="center"/>
    </xf>
    <xf numFmtId="165" fontId="24" fillId="0" borderId="0" xfId="0" applyNumberFormat="1" applyFont="1" applyAlignment="1">
      <alignment horizontal="center"/>
    </xf>
    <xf numFmtId="20" fontId="0" fillId="0" borderId="0" xfId="0" applyNumberFormat="1"/>
    <xf numFmtId="0" fontId="0" fillId="0" borderId="0" xfId="0" applyNumberFormat="1"/>
    <xf numFmtId="168" fontId="14" fillId="0" borderId="10" xfId="0" applyNumberFormat="1" applyFont="1" applyBorder="1" applyAlignment="1">
      <alignment horizontal="center"/>
    </xf>
    <xf numFmtId="2" fontId="27" fillId="12" borderId="0" xfId="0" applyNumberFormat="1" applyFont="1" applyFill="1" applyAlignment="1">
      <alignment horizontal="center"/>
    </xf>
    <xf numFmtId="0" fontId="0" fillId="0" borderId="0" xfId="0" quotePrefix="1" applyAlignment="1">
      <alignment horizontal="center"/>
    </xf>
    <xf numFmtId="164" fontId="43" fillId="0" borderId="0" xfId="4" applyFont="1"/>
    <xf numFmtId="2" fontId="0" fillId="0" borderId="0" xfId="0" applyNumberFormat="1"/>
    <xf numFmtId="2" fontId="44" fillId="0" borderId="0" xfId="0" applyNumberFormat="1" applyFont="1" applyAlignment="1">
      <alignment horizontal="center"/>
    </xf>
    <xf numFmtId="170" fontId="44" fillId="0" borderId="0" xfId="0" applyNumberFormat="1" applyFont="1" applyAlignment="1">
      <alignment horizontal="center"/>
    </xf>
    <xf numFmtId="2" fontId="45" fillId="0" borderId="0" xfId="0" applyNumberFormat="1" applyFont="1" applyAlignment="1">
      <alignment horizontal="center"/>
    </xf>
    <xf numFmtId="0" fontId="14" fillId="0" borderId="14" xfId="0" applyFont="1" applyBorder="1" applyAlignment="1">
      <alignment horizontal="center"/>
    </xf>
    <xf numFmtId="2" fontId="14" fillId="0" borderId="15" xfId="0" applyNumberFormat="1" applyFont="1" applyBorder="1" applyAlignment="1">
      <alignment horizontal="center"/>
    </xf>
    <xf numFmtId="170" fontId="14" fillId="0" borderId="15" xfId="0" applyNumberFormat="1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170" fontId="14" fillId="0" borderId="17" xfId="0" applyNumberFormat="1" applyFont="1" applyBorder="1" applyAlignment="1">
      <alignment horizontal="center"/>
    </xf>
    <xf numFmtId="2" fontId="14" fillId="0" borderId="18" xfId="0" applyNumberFormat="1" applyFont="1" applyBorder="1" applyAlignment="1">
      <alignment horizontal="center"/>
    </xf>
    <xf numFmtId="170" fontId="14" fillId="0" borderId="18" xfId="0" applyNumberFormat="1" applyFont="1" applyBorder="1" applyAlignment="1">
      <alignment horizontal="center"/>
    </xf>
    <xf numFmtId="170" fontId="14" fillId="0" borderId="19" xfId="0" applyNumberFormat="1" applyFont="1" applyBorder="1" applyAlignment="1">
      <alignment horizontal="center"/>
    </xf>
    <xf numFmtId="0" fontId="46" fillId="0" borderId="20" xfId="0" applyFont="1" applyBorder="1" applyAlignment="1">
      <alignment horizontal="center"/>
    </xf>
    <xf numFmtId="0" fontId="46" fillId="0" borderId="21" xfId="0" applyFont="1" applyBorder="1" applyAlignment="1">
      <alignment horizontal="center"/>
    </xf>
    <xf numFmtId="0" fontId="46" fillId="0" borderId="13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2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left"/>
    </xf>
    <xf numFmtId="165" fontId="38" fillId="2" borderId="1" xfId="0" applyNumberFormat="1" applyFont="1" applyFill="1" applyBorder="1" applyAlignment="1">
      <alignment horizontal="center"/>
    </xf>
    <xf numFmtId="165" fontId="14" fillId="0" borderId="1" xfId="0" applyNumberFormat="1" applyFont="1" applyBorder="1" applyAlignment="1">
      <alignment horizontal="center"/>
    </xf>
    <xf numFmtId="2" fontId="14" fillId="0" borderId="1" xfId="0" applyNumberFormat="1" applyFont="1" applyBorder="1" applyAlignment="1">
      <alignment horizontal="center"/>
    </xf>
    <xf numFmtId="9" fontId="14" fillId="0" borderId="1" xfId="1" applyFont="1" applyBorder="1" applyAlignment="1">
      <alignment horizontal="center"/>
    </xf>
    <xf numFmtId="165" fontId="25" fillId="19" borderId="1" xfId="0" applyNumberFormat="1" applyFont="1" applyFill="1" applyBorder="1" applyAlignment="1">
      <alignment horizontal="center"/>
    </xf>
    <xf numFmtId="165" fontId="14" fillId="2" borderId="1" xfId="0" applyNumberFormat="1" applyFont="1" applyFill="1" applyBorder="1" applyAlignment="1">
      <alignment horizontal="center"/>
    </xf>
    <xf numFmtId="164" fontId="0" fillId="0" borderId="1" xfId="4" applyFont="1" applyBorder="1"/>
    <xf numFmtId="0" fontId="14" fillId="15" borderId="1" xfId="0" applyFont="1" applyFill="1" applyBorder="1" applyAlignment="1">
      <alignment horizontal="left"/>
    </xf>
    <xf numFmtId="0" fontId="14" fillId="14" borderId="1" xfId="0" applyFont="1" applyFill="1" applyBorder="1" applyAlignment="1">
      <alignment horizontal="left"/>
    </xf>
    <xf numFmtId="0" fontId="14" fillId="8" borderId="1" xfId="0" applyFont="1" applyFill="1" applyBorder="1" applyAlignment="1">
      <alignment horizontal="left"/>
    </xf>
    <xf numFmtId="0" fontId="14" fillId="16" borderId="1" xfId="0" applyFont="1" applyFill="1" applyBorder="1" applyAlignment="1">
      <alignment horizontal="left"/>
    </xf>
    <xf numFmtId="0" fontId="14" fillId="17" borderId="1" xfId="0" applyFont="1" applyFill="1" applyBorder="1" applyAlignment="1">
      <alignment horizontal="left"/>
    </xf>
    <xf numFmtId="0" fontId="14" fillId="13" borderId="1" xfId="0" applyFont="1" applyFill="1" applyBorder="1" applyAlignment="1">
      <alignment horizontal="left"/>
    </xf>
    <xf numFmtId="171" fontId="26" fillId="5" borderId="1" xfId="0" applyNumberFormat="1" applyFont="1" applyFill="1" applyBorder="1" applyAlignment="1">
      <alignment horizontal="center"/>
    </xf>
    <xf numFmtId="169" fontId="27" fillId="12" borderId="1" xfId="0" applyNumberFormat="1" applyFont="1" applyFill="1" applyBorder="1" applyAlignment="1">
      <alignment horizontal="center"/>
    </xf>
    <xf numFmtId="2" fontId="27" fillId="12" borderId="1" xfId="0" applyNumberFormat="1" applyFont="1" applyFill="1" applyBorder="1" applyAlignment="1">
      <alignment horizontal="center"/>
    </xf>
    <xf numFmtId="165" fontId="27" fillId="12" borderId="1" xfId="0" applyNumberFormat="1" applyFont="1" applyFill="1" applyBorder="1" applyAlignment="1">
      <alignment horizontal="center"/>
    </xf>
    <xf numFmtId="165" fontId="24" fillId="12" borderId="1" xfId="0" applyNumberFormat="1" applyFont="1" applyFill="1" applyBorder="1" applyAlignment="1">
      <alignment horizontal="center"/>
    </xf>
    <xf numFmtId="165" fontId="35" fillId="13" borderId="1" xfId="0" applyNumberFormat="1" applyFont="1" applyFill="1" applyBorder="1" applyAlignment="1">
      <alignment horizontal="center"/>
    </xf>
    <xf numFmtId="164" fontId="43" fillId="0" borderId="1" xfId="4" applyFont="1" applyBorder="1"/>
    <xf numFmtId="0" fontId="22" fillId="0" borderId="0" xfId="0" applyFont="1" applyAlignment="1">
      <alignment horizontal="center"/>
    </xf>
    <xf numFmtId="168" fontId="22" fillId="0" borderId="0" xfId="0" applyNumberFormat="1" applyFont="1" applyAlignment="1">
      <alignment horizontal="center"/>
    </xf>
    <xf numFmtId="165" fontId="22" fillId="0" borderId="0" xfId="0" applyNumberFormat="1" applyFont="1" applyAlignment="1">
      <alignment horizontal="center"/>
    </xf>
    <xf numFmtId="1" fontId="22" fillId="0" borderId="0" xfId="0" applyNumberFormat="1" applyFont="1" applyAlignment="1">
      <alignment horizontal="center"/>
    </xf>
    <xf numFmtId="164" fontId="0" fillId="0" borderId="0" xfId="4" applyFont="1" applyFill="1" applyBorder="1"/>
    <xf numFmtId="1" fontId="14" fillId="0" borderId="1" xfId="0" applyNumberFormat="1" applyFont="1" applyBorder="1" applyAlignment="1">
      <alignment horizontal="center"/>
    </xf>
    <xf numFmtId="9" fontId="17" fillId="2" borderId="0" xfId="1" applyNumberFormat="1" applyFont="1" applyFill="1" applyAlignment="1">
      <alignment horizontal="center"/>
    </xf>
    <xf numFmtId="177" fontId="0" fillId="0" borderId="0" xfId="0" applyNumberFormat="1"/>
    <xf numFmtId="0" fontId="47" fillId="2" borderId="0" xfId="0" applyFont="1" applyFill="1" applyAlignment="1">
      <alignment horizontal="center"/>
    </xf>
    <xf numFmtId="0" fontId="34" fillId="14" borderId="1" xfId="0" applyFont="1" applyFill="1" applyBorder="1" applyAlignment="1">
      <alignment horizontal="center"/>
    </xf>
    <xf numFmtId="9" fontId="14" fillId="14" borderId="1" xfId="1" applyFont="1" applyFill="1" applyBorder="1" applyAlignment="1">
      <alignment horizontal="center"/>
    </xf>
    <xf numFmtId="9" fontId="14" fillId="0" borderId="0" xfId="1" applyFont="1" applyBorder="1" applyAlignment="1">
      <alignment horizontal="center"/>
    </xf>
    <xf numFmtId="0" fontId="0" fillId="20" borderId="0" xfId="0" applyFill="1"/>
    <xf numFmtId="0" fontId="50" fillId="22" borderId="24" xfId="0" applyFont="1" applyFill="1" applyBorder="1"/>
    <xf numFmtId="0" fontId="50" fillId="22" borderId="0" xfId="0" applyFont="1" applyFill="1" applyBorder="1"/>
    <xf numFmtId="1" fontId="50" fillId="22" borderId="0" xfId="0" applyNumberFormat="1" applyFont="1" applyFill="1" applyBorder="1"/>
    <xf numFmtId="0" fontId="53" fillId="22" borderId="25" xfId="0" applyFont="1" applyFill="1" applyBorder="1"/>
    <xf numFmtId="176" fontId="50" fillId="22" borderId="0" xfId="4" applyNumberFormat="1" applyFont="1" applyFill="1" applyBorder="1"/>
    <xf numFmtId="0" fontId="50" fillId="22" borderId="25" xfId="0" applyFont="1" applyFill="1" applyBorder="1"/>
    <xf numFmtId="0" fontId="50" fillId="22" borderId="0" xfId="0" applyFont="1" applyFill="1" applyBorder="1" applyAlignment="1">
      <alignment horizontal="center"/>
    </xf>
    <xf numFmtId="0" fontId="50" fillId="22" borderId="0" xfId="0" applyFont="1" applyFill="1" applyBorder="1" applyAlignment="1">
      <alignment horizontal="right"/>
    </xf>
    <xf numFmtId="0" fontId="53" fillId="22" borderId="24" xfId="0" applyFont="1" applyFill="1" applyBorder="1"/>
    <xf numFmtId="0" fontId="53" fillId="22" borderId="0" xfId="0" applyFont="1" applyFill="1" applyBorder="1"/>
    <xf numFmtId="0" fontId="50" fillId="22" borderId="29" xfId="0" applyNumberFormat="1" applyFont="1" applyFill="1" applyBorder="1" applyAlignment="1">
      <alignment horizontal="right"/>
    </xf>
    <xf numFmtId="0" fontId="50" fillId="22" borderId="29" xfId="0" applyNumberFormat="1" applyFont="1" applyFill="1" applyBorder="1" applyAlignment="1">
      <alignment horizontal="center"/>
    </xf>
    <xf numFmtId="0" fontId="0" fillId="22" borderId="24" xfId="0" applyFill="1" applyBorder="1"/>
    <xf numFmtId="0" fontId="0" fillId="22" borderId="0" xfId="0" applyFill="1" applyBorder="1"/>
    <xf numFmtId="1" fontId="48" fillId="22" borderId="0" xfId="0" applyNumberFormat="1" applyFont="1" applyFill="1" applyBorder="1" applyAlignment="1">
      <alignment horizontal="center"/>
    </xf>
    <xf numFmtId="0" fontId="0" fillId="22" borderId="25" xfId="0" applyFill="1" applyBorder="1"/>
    <xf numFmtId="0" fontId="0" fillId="22" borderId="26" xfId="0" applyFill="1" applyBorder="1"/>
    <xf numFmtId="0" fontId="0" fillId="22" borderId="11" xfId="0" applyFill="1" applyBorder="1"/>
    <xf numFmtId="0" fontId="0" fillId="22" borderId="12" xfId="0" applyFill="1" applyBorder="1"/>
    <xf numFmtId="0" fontId="51" fillId="21" borderId="30" xfId="0" applyFont="1" applyFill="1" applyBorder="1"/>
    <xf numFmtId="0" fontId="52" fillId="21" borderId="31" xfId="0" applyFont="1" applyFill="1" applyBorder="1"/>
    <xf numFmtId="177" fontId="52" fillId="21" borderId="31" xfId="0" applyNumberFormat="1" applyFont="1" applyFill="1" applyBorder="1"/>
    <xf numFmtId="1" fontId="54" fillId="0" borderId="1" xfId="0" applyNumberFormat="1" applyFont="1" applyBorder="1" applyAlignment="1">
      <alignment horizontal="center"/>
    </xf>
    <xf numFmtId="0" fontId="34" fillId="0" borderId="27" xfId="0" applyFont="1" applyBorder="1" applyAlignment="1">
      <alignment horizontal="center"/>
    </xf>
    <xf numFmtId="164" fontId="0" fillId="0" borderId="27" xfId="4" applyFont="1" applyBorder="1"/>
    <xf numFmtId="0" fontId="50" fillId="9" borderId="22" xfId="0" applyFont="1" applyFill="1" applyBorder="1"/>
    <xf numFmtId="176" fontId="50" fillId="9" borderId="23" xfId="4" applyNumberFormat="1" applyFont="1" applyFill="1" applyBorder="1"/>
    <xf numFmtId="0" fontId="48" fillId="20" borderId="27" xfId="0" applyFont="1" applyFill="1" applyBorder="1"/>
    <xf numFmtId="1" fontId="48" fillId="20" borderId="2" xfId="0" applyNumberFormat="1" applyFont="1" applyFill="1" applyBorder="1"/>
    <xf numFmtId="0" fontId="50" fillId="9" borderId="26" xfId="0" applyFont="1" applyFill="1" applyBorder="1"/>
    <xf numFmtId="171" fontId="50" fillId="9" borderId="12" xfId="0" applyNumberFormat="1" applyFont="1" applyFill="1" applyBorder="1" applyAlignment="1">
      <alignment horizontal="right"/>
    </xf>
    <xf numFmtId="1" fontId="17" fillId="2" borderId="0" xfId="0" applyNumberFormat="1" applyFont="1" applyFill="1" applyAlignment="1">
      <alignment horizontal="center"/>
    </xf>
    <xf numFmtId="165" fontId="50" fillId="22" borderId="0" xfId="0" applyNumberFormat="1" applyFont="1" applyFill="1" applyBorder="1" applyAlignment="1">
      <alignment horizontal="center"/>
    </xf>
    <xf numFmtId="165" fontId="50" fillId="22" borderId="29" xfId="0" applyNumberFormat="1" applyFont="1" applyFill="1" applyBorder="1" applyAlignment="1">
      <alignment horizontal="center"/>
    </xf>
    <xf numFmtId="165" fontId="51" fillId="21" borderId="32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left"/>
    </xf>
    <xf numFmtId="0" fontId="49" fillId="12" borderId="27" xfId="0" applyFont="1" applyFill="1" applyBorder="1" applyAlignment="1">
      <alignment horizontal="center"/>
    </xf>
    <xf numFmtId="0" fontId="49" fillId="12" borderId="28" xfId="0" applyFont="1" applyFill="1" applyBorder="1" applyAlignment="1">
      <alignment horizontal="center"/>
    </xf>
    <xf numFmtId="0" fontId="49" fillId="12" borderId="2" xfId="0" applyFont="1" applyFill="1" applyBorder="1" applyAlignment="1">
      <alignment horizontal="center"/>
    </xf>
    <xf numFmtId="0" fontId="23" fillId="11" borderId="0" xfId="0" applyFont="1" applyFill="1" applyAlignment="1">
      <alignment horizontal="center"/>
    </xf>
    <xf numFmtId="0" fontId="22" fillId="11" borderId="0" xfId="0" applyFont="1" applyFill="1" applyAlignment="1">
      <alignment horizontal="center"/>
    </xf>
    <xf numFmtId="0" fontId="14" fillId="0" borderId="3" xfId="0" applyFont="1" applyBorder="1" applyAlignment="1">
      <alignment horizontal="center" wrapText="1"/>
    </xf>
    <xf numFmtId="0" fontId="14" fillId="0" borderId="6" xfId="0" applyFont="1" applyBorder="1" applyAlignment="1">
      <alignment horizontal="center" wrapText="1"/>
    </xf>
    <xf numFmtId="0" fontId="33" fillId="11" borderId="11" xfId="0" applyFont="1" applyFill="1" applyBorder="1" applyAlignment="1">
      <alignment horizontal="center" vertical="center"/>
    </xf>
    <xf numFmtId="0" fontId="33" fillId="11" borderId="12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14" fillId="0" borderId="1" xfId="0" applyNumberFormat="1" applyFont="1" applyBorder="1" applyAlignment="1">
      <alignment horizontal="center"/>
    </xf>
    <xf numFmtId="0" fontId="34" fillId="0" borderId="33" xfId="0" applyFont="1" applyFill="1" applyBorder="1" applyAlignment="1">
      <alignment horizontal="center"/>
    </xf>
    <xf numFmtId="2" fontId="14" fillId="0" borderId="0" xfId="0" applyNumberFormat="1" applyFont="1" applyFill="1" applyBorder="1" applyAlignment="1">
      <alignment horizontal="center"/>
    </xf>
    <xf numFmtId="0" fontId="0" fillId="0" borderId="1" xfId="0" applyBorder="1"/>
  </cellXfs>
  <cellStyles count="5">
    <cellStyle name="Millares" xfId="4" builtinId="3"/>
    <cellStyle name="Normal" xfId="0" builtinId="0"/>
    <cellStyle name="Normal 2" xfId="2" xr:uid="{00000000-0005-0000-0000-000002000000}"/>
    <cellStyle name="Porcentaje" xfId="1" builtinId="5"/>
    <cellStyle name="Porcentual 2" xfId="3" xr:uid="{00000000-0005-0000-0000-000004000000}"/>
  </cellStyles>
  <dxfs count="0"/>
  <tableStyles count="0" defaultTableStyle="TableStyleMedium9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u="sng">
                <a:latin typeface="Arial Unicode MS" pitchFamily="34" charset="-128"/>
                <a:ea typeface="Arial Unicode MS" pitchFamily="34" charset="-128"/>
                <a:cs typeface="Arial Unicode MS" pitchFamily="34" charset="-128"/>
              </a:defRPr>
            </a:pPr>
            <a:r>
              <a:rPr lang="en-US" sz="1600" u="sng">
                <a:latin typeface="Arial Unicode MS" pitchFamily="34" charset="-128"/>
                <a:ea typeface="Arial Unicode MS" pitchFamily="34" charset="-128"/>
                <a:cs typeface="Arial Unicode MS" pitchFamily="34" charset="-128"/>
              </a:rPr>
              <a:t>Diagrama de solubilidad B3=1.5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352919295675012"/>
          <c:y val="0.14994876782272401"/>
          <c:w val="0.84205664575648731"/>
          <c:h val="0.7080065139008197"/>
        </c:manualLayout>
      </c:layout>
      <c:scatterChart>
        <c:scatterStyle val="smoothMarker"/>
        <c:varyColors val="0"/>
        <c:ser>
          <c:idx val="0"/>
          <c:order val="0"/>
          <c:spPr>
            <a:ln>
              <a:solidFill>
                <a:srgbClr val="002060"/>
              </a:solidFill>
            </a:ln>
          </c:spPr>
          <c:marker>
            <c:symbol val="none"/>
          </c:marker>
          <c:dLbls>
            <c:dLbl>
              <c:idx val="57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72C-49CA-A904-E586AC70B20A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'Horno Eléctrico'!$FK$2:$FK$60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14.6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17.3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 formatCode="0.0">
                  <c:v>28.645219181086627</c:v>
                </c:pt>
              </c:numCache>
            </c:numRef>
          </c:xVal>
          <c:yVal>
            <c:numRef>
              <c:f>'Horno Eléctrico'!$FL$2:$FL$60</c:f>
              <c:numCache>
                <c:formatCode>0.0000</c:formatCode>
                <c:ptCount val="59"/>
                <c:pt idx="0">
                  <c:v>0</c:v>
                </c:pt>
                <c:pt idx="1">
                  <c:v>0.86301369863013699</c:v>
                </c:pt>
                <c:pt idx="2">
                  <c:v>1.726027397260274</c:v>
                </c:pt>
                <c:pt idx="3">
                  <c:v>2.5890410958904106</c:v>
                </c:pt>
                <c:pt idx="4">
                  <c:v>3.452054794520548</c:v>
                </c:pt>
                <c:pt idx="5">
                  <c:v>4.3150684931506849</c:v>
                </c:pt>
                <c:pt idx="6">
                  <c:v>5.1780821917808213</c:v>
                </c:pt>
                <c:pt idx="7">
                  <c:v>6.0410958904109595</c:v>
                </c:pt>
                <c:pt idx="8">
                  <c:v>6.904109589041096</c:v>
                </c:pt>
                <c:pt idx="9">
                  <c:v>7.7671232876712324</c:v>
                </c:pt>
                <c:pt idx="10">
                  <c:v>8.6301369863013697</c:v>
                </c:pt>
                <c:pt idx="11">
                  <c:v>9.493150684931507</c:v>
                </c:pt>
                <c:pt idx="12">
                  <c:v>10.356164383561643</c:v>
                </c:pt>
                <c:pt idx="13">
                  <c:v>11.21917808219178</c:v>
                </c:pt>
                <c:pt idx="14">
                  <c:v>12.082191780821919</c:v>
                </c:pt>
                <c:pt idx="15">
                  <c:v>12.6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2C-49CA-A904-E586AC70B20A}"/>
            </c:ext>
          </c:extLst>
        </c:ser>
        <c:ser>
          <c:idx val="1"/>
          <c:order val="1"/>
          <c:spPr>
            <a:ln>
              <a:solidFill>
                <a:srgbClr val="002060"/>
              </a:solidFill>
            </a:ln>
          </c:spPr>
          <c:marker>
            <c:symbol val="none"/>
          </c:marker>
          <c:dLbls>
            <c:dLbl>
              <c:idx val="53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72C-49CA-A904-E586AC70B20A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'Horno Eléctrico'!$FK$2:$FK$60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14.6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17.3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 formatCode="0.0">
                  <c:v>28.645219181086627</c:v>
                </c:pt>
              </c:numCache>
            </c:numRef>
          </c:xVal>
          <c:yVal>
            <c:numRef>
              <c:f>'Horno Eléctrico'!$FM$2:$FM$60</c:f>
              <c:numCache>
                <c:formatCode>0.0000</c:formatCode>
                <c:ptCount val="59"/>
                <c:pt idx="0">
                  <c:v>16.999659827586903</c:v>
                </c:pt>
                <c:pt idx="1">
                  <c:v>16.698313264053553</c:v>
                </c:pt>
                <c:pt idx="2">
                  <c:v>16.396966700520203</c:v>
                </c:pt>
                <c:pt idx="3">
                  <c:v>16.095620136986852</c:v>
                </c:pt>
                <c:pt idx="4">
                  <c:v>15.794273573453506</c:v>
                </c:pt>
                <c:pt idx="5">
                  <c:v>15.492927009920155</c:v>
                </c:pt>
                <c:pt idx="6">
                  <c:v>15.191580446386805</c:v>
                </c:pt>
                <c:pt idx="7">
                  <c:v>14.890233882853456</c:v>
                </c:pt>
                <c:pt idx="8">
                  <c:v>14.588887319320106</c:v>
                </c:pt>
                <c:pt idx="9">
                  <c:v>14.287540755786758</c:v>
                </c:pt>
                <c:pt idx="10">
                  <c:v>13.986194192253407</c:v>
                </c:pt>
                <c:pt idx="11">
                  <c:v>13.684847628720059</c:v>
                </c:pt>
                <c:pt idx="12">
                  <c:v>13.383501065186708</c:v>
                </c:pt>
                <c:pt idx="13">
                  <c:v>13.082154501653358</c:v>
                </c:pt>
                <c:pt idx="14">
                  <c:v>12.780807938120009</c:v>
                </c:pt>
                <c:pt idx="15">
                  <c:v>12.6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72C-49CA-A904-E586AC70B20A}"/>
            </c:ext>
          </c:extLst>
        </c:ser>
        <c:ser>
          <c:idx val="2"/>
          <c:order val="2"/>
          <c:spPr>
            <a:ln>
              <a:solidFill>
                <a:srgbClr val="002060"/>
              </a:solidFill>
            </a:ln>
          </c:spPr>
          <c:marker>
            <c:symbol val="none"/>
          </c:marker>
          <c:dLbls>
            <c:dLbl>
              <c:idx val="53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72C-49CA-A904-E586AC70B20A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'Horno Eléctrico'!$FK$2:$FK$60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14.6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17.3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 formatCode="0.0">
                  <c:v>28.645219181086627</c:v>
                </c:pt>
              </c:numCache>
            </c:numRef>
          </c:xVal>
          <c:yVal>
            <c:numRef>
              <c:f>'Horno Eléctrico'!$FN$2:$FN$60</c:f>
              <c:numCache>
                <c:formatCode>0.0000</c:formatCode>
                <c:ptCount val="59"/>
                <c:pt idx="15">
                  <c:v>12.6</c:v>
                </c:pt>
                <c:pt idx="16">
                  <c:v>11.68148148148148</c:v>
                </c:pt>
                <c:pt idx="17">
                  <c:v>9.3851851851851844</c:v>
                </c:pt>
                <c:pt idx="18">
                  <c:v>7.0888888888888877</c:v>
                </c:pt>
                <c:pt idx="19">
                  <c:v>6.3999999999999968</c:v>
                </c:pt>
                <c:pt idx="20">
                  <c:v>5.7777777777777786</c:v>
                </c:pt>
                <c:pt idx="21">
                  <c:v>4.8888888888888902</c:v>
                </c:pt>
                <c:pt idx="22">
                  <c:v>4.0000000000000018</c:v>
                </c:pt>
                <c:pt idx="23">
                  <c:v>3.6923076923076925</c:v>
                </c:pt>
                <c:pt idx="24">
                  <c:v>3.3846153846153846</c:v>
                </c:pt>
                <c:pt idx="25">
                  <c:v>3.0769230769230766</c:v>
                </c:pt>
                <c:pt idx="26">
                  <c:v>2.7692307692307692</c:v>
                </c:pt>
                <c:pt idx="27">
                  <c:v>2.4615384615384617</c:v>
                </c:pt>
                <c:pt idx="28">
                  <c:v>2.1538461538461537</c:v>
                </c:pt>
                <c:pt idx="29">
                  <c:v>1.8461538461538463</c:v>
                </c:pt>
                <c:pt idx="30">
                  <c:v>1.5384615384615383</c:v>
                </c:pt>
                <c:pt idx="31">
                  <c:v>1.2307692307692308</c:v>
                </c:pt>
                <c:pt idx="32">
                  <c:v>0.92307692307692291</c:v>
                </c:pt>
                <c:pt idx="33">
                  <c:v>0.61538461538461542</c:v>
                </c:pt>
                <c:pt idx="34">
                  <c:v>0.30769230769230749</c:v>
                </c:pt>
                <c:pt idx="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72C-49CA-A904-E586AC70B20A}"/>
            </c:ext>
          </c:extLst>
        </c:ser>
        <c:ser>
          <c:idx val="3"/>
          <c:order val="3"/>
          <c:spPr>
            <a:ln>
              <a:solidFill>
                <a:srgbClr val="002060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'Horno Eléctrico'!$FK$2:$FK$60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14.6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17.3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 formatCode="0.0">
                  <c:v>28.645219181086627</c:v>
                </c:pt>
              </c:numCache>
            </c:numRef>
          </c:xVal>
          <c:yVal>
            <c:numRef>
              <c:f>'Horno Eléctrico'!$FO$2:$FO$60</c:f>
              <c:numCache>
                <c:formatCode>0.0000</c:formatCode>
                <c:ptCount val="59"/>
                <c:pt idx="15">
                  <c:v>12.599999543146557</c:v>
                </c:pt>
                <c:pt idx="16">
                  <c:v>12.573266874402533</c:v>
                </c:pt>
                <c:pt idx="17">
                  <c:v>12.50643520254247</c:v>
                </c:pt>
                <c:pt idx="18">
                  <c:v>12.439603530682406</c:v>
                </c:pt>
                <c:pt idx="19">
                  <c:v>12.419554029124388</c:v>
                </c:pt>
                <c:pt idx="20">
                  <c:v>12.372771858822343</c:v>
                </c:pt>
                <c:pt idx="21">
                  <c:v>12.30594018696228</c:v>
                </c:pt>
                <c:pt idx="22">
                  <c:v>12.239108515102217</c:v>
                </c:pt>
                <c:pt idx="23">
                  <c:v>12.172276843242152</c:v>
                </c:pt>
                <c:pt idx="24">
                  <c:v>12.10544517138209</c:v>
                </c:pt>
                <c:pt idx="25">
                  <c:v>12.038613499522025</c:v>
                </c:pt>
                <c:pt idx="26">
                  <c:v>11.971781827661964</c:v>
                </c:pt>
                <c:pt idx="27">
                  <c:v>11.904950155801899</c:v>
                </c:pt>
                <c:pt idx="28">
                  <c:v>11.838118483941836</c:v>
                </c:pt>
                <c:pt idx="29">
                  <c:v>11.771286812081772</c:v>
                </c:pt>
                <c:pt idx="30">
                  <c:v>11.704455140221709</c:v>
                </c:pt>
                <c:pt idx="31">
                  <c:v>11.637623468361646</c:v>
                </c:pt>
                <c:pt idx="32">
                  <c:v>11.570791796501583</c:v>
                </c:pt>
                <c:pt idx="33">
                  <c:v>11.50396012464152</c:v>
                </c:pt>
                <c:pt idx="34">
                  <c:v>11.437128452781456</c:v>
                </c:pt>
                <c:pt idx="35">
                  <c:v>11.370296780921393</c:v>
                </c:pt>
                <c:pt idx="36">
                  <c:v>11.30346510906133</c:v>
                </c:pt>
                <c:pt idx="37">
                  <c:v>11.236633437201267</c:v>
                </c:pt>
                <c:pt idx="38">
                  <c:v>11.169801765341203</c:v>
                </c:pt>
                <c:pt idx="39">
                  <c:v>11.10297009348114</c:v>
                </c:pt>
                <c:pt idx="40">
                  <c:v>11.036138421621077</c:v>
                </c:pt>
                <c:pt idx="41">
                  <c:v>10.969306749761014</c:v>
                </c:pt>
                <c:pt idx="42">
                  <c:v>10.90247507790095</c:v>
                </c:pt>
                <c:pt idx="43">
                  <c:v>10.835643406040887</c:v>
                </c:pt>
                <c:pt idx="44">
                  <c:v>10.768811734180824</c:v>
                </c:pt>
                <c:pt idx="45">
                  <c:v>10.701980062320761</c:v>
                </c:pt>
                <c:pt idx="46">
                  <c:v>10.635148390460696</c:v>
                </c:pt>
                <c:pt idx="47">
                  <c:v>10.568316718600634</c:v>
                </c:pt>
                <c:pt idx="48">
                  <c:v>10.501485046740569</c:v>
                </c:pt>
                <c:pt idx="49">
                  <c:v>10.434653374880506</c:v>
                </c:pt>
                <c:pt idx="50">
                  <c:v>10.367821703020443</c:v>
                </c:pt>
                <c:pt idx="51">
                  <c:v>10.30099003116038</c:v>
                </c:pt>
                <c:pt idx="52">
                  <c:v>10.234158359300316</c:v>
                </c:pt>
                <c:pt idx="53">
                  <c:v>10.167326687440253</c:v>
                </c:pt>
                <c:pt idx="54">
                  <c:v>10.10049501558019</c:v>
                </c:pt>
                <c:pt idx="55">
                  <c:v>10.033663343720127</c:v>
                </c:pt>
                <c:pt idx="56">
                  <c:v>9.9668316718600636</c:v>
                </c:pt>
                <c:pt idx="57">
                  <c:v>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72C-49CA-A904-E586AC70B20A}"/>
            </c:ext>
          </c:extLst>
        </c:ser>
        <c:ser>
          <c:idx val="4"/>
          <c:order val="4"/>
          <c:spPr>
            <a:ln>
              <a:solidFill>
                <a:srgbClr val="002060"/>
              </a:solidFill>
              <a:prstDash val="sysDot"/>
            </a:ln>
          </c:spPr>
          <c:marker>
            <c:symbol val="none"/>
          </c:marker>
          <c:dLbls>
            <c:delete val="1"/>
          </c:dLbls>
          <c:xVal>
            <c:numRef>
              <c:f>'Horno Eléctrico'!$FK$2:$FK$60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14.6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17.3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 formatCode="0.0">
                  <c:v>28.645219181086627</c:v>
                </c:pt>
              </c:numCache>
            </c:numRef>
          </c:xVal>
          <c:yVal>
            <c:numRef>
              <c:f>'Horno Eléctrico'!$FP$2:$FP$60</c:f>
              <c:numCache>
                <c:formatCode>0.0000</c:formatCode>
                <c:ptCount val="59"/>
                <c:pt idx="18">
                  <c:v>14</c:v>
                </c:pt>
                <c:pt idx="19">
                  <c:v>13.978684210526316</c:v>
                </c:pt>
                <c:pt idx="20">
                  <c:v>13.928947368421053</c:v>
                </c:pt>
                <c:pt idx="21">
                  <c:v>13.857894736842105</c:v>
                </c:pt>
                <c:pt idx="22">
                  <c:v>13.786842105263158</c:v>
                </c:pt>
                <c:pt idx="23">
                  <c:v>13.715789473684211</c:v>
                </c:pt>
                <c:pt idx="24">
                  <c:v>13.644736842105264</c:v>
                </c:pt>
                <c:pt idx="25">
                  <c:v>13.573684210526316</c:v>
                </c:pt>
                <c:pt idx="26">
                  <c:v>13.502631578947369</c:v>
                </c:pt>
                <c:pt idx="27">
                  <c:v>13.431578947368422</c:v>
                </c:pt>
                <c:pt idx="28">
                  <c:v>13.360526315789473</c:v>
                </c:pt>
                <c:pt idx="29">
                  <c:v>13.289473684210526</c:v>
                </c:pt>
                <c:pt idx="30">
                  <c:v>13.218421052631578</c:v>
                </c:pt>
                <c:pt idx="31">
                  <c:v>13.147368421052631</c:v>
                </c:pt>
                <c:pt idx="32">
                  <c:v>13.076315789473684</c:v>
                </c:pt>
                <c:pt idx="33">
                  <c:v>13.005263157894737</c:v>
                </c:pt>
                <c:pt idx="34">
                  <c:v>12.934210526315789</c:v>
                </c:pt>
                <c:pt idx="35">
                  <c:v>12.863157894736842</c:v>
                </c:pt>
                <c:pt idx="36">
                  <c:v>12.792105263157895</c:v>
                </c:pt>
                <c:pt idx="37">
                  <c:v>12.721052631578948</c:v>
                </c:pt>
                <c:pt idx="38">
                  <c:v>12.65</c:v>
                </c:pt>
                <c:pt idx="39">
                  <c:v>12.578947368421053</c:v>
                </c:pt>
                <c:pt idx="40">
                  <c:v>12.507894736842106</c:v>
                </c:pt>
                <c:pt idx="41">
                  <c:v>12.436842105263159</c:v>
                </c:pt>
                <c:pt idx="42">
                  <c:v>12.36578947368421</c:v>
                </c:pt>
                <c:pt idx="43">
                  <c:v>12.294736842105262</c:v>
                </c:pt>
                <c:pt idx="44">
                  <c:v>12.223684210526315</c:v>
                </c:pt>
                <c:pt idx="45">
                  <c:v>12.152631578947368</c:v>
                </c:pt>
                <c:pt idx="46">
                  <c:v>12.081578947368421</c:v>
                </c:pt>
                <c:pt idx="47">
                  <c:v>12.010526315789473</c:v>
                </c:pt>
                <c:pt idx="48">
                  <c:v>11.939473684210526</c:v>
                </c:pt>
                <c:pt idx="49">
                  <c:v>11.868421052631579</c:v>
                </c:pt>
                <c:pt idx="50">
                  <c:v>11.797368421052632</c:v>
                </c:pt>
                <c:pt idx="51">
                  <c:v>11.726315789473684</c:v>
                </c:pt>
                <c:pt idx="52">
                  <c:v>11.655263157894737</c:v>
                </c:pt>
                <c:pt idx="53">
                  <c:v>11.58421052631579</c:v>
                </c:pt>
                <c:pt idx="54">
                  <c:v>11.513157894736842</c:v>
                </c:pt>
                <c:pt idx="55">
                  <c:v>11.442105263157895</c:v>
                </c:pt>
                <c:pt idx="56">
                  <c:v>11.371052631578948</c:v>
                </c:pt>
                <c:pt idx="57">
                  <c:v>11.3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72C-49CA-A904-E586AC70B20A}"/>
            </c:ext>
          </c:extLst>
        </c:ser>
        <c:ser>
          <c:idx val="5"/>
          <c:order val="5"/>
          <c:spPr>
            <a:ln>
              <a:solidFill>
                <a:srgbClr val="002060"/>
              </a:solidFill>
              <a:prstDash val="sysDot"/>
            </a:ln>
          </c:spPr>
          <c:marker>
            <c:symbol val="none"/>
          </c:marker>
          <c:dLbls>
            <c:dLbl>
              <c:idx val="53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72C-49CA-A904-E586AC70B20A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'Horno Eléctrico'!$FK$2:$FK$60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14.6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17.3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 formatCode="0.0">
                  <c:v>28.645219181086627</c:v>
                </c:pt>
              </c:numCache>
            </c:numRef>
          </c:xVal>
          <c:yVal>
            <c:numRef>
              <c:f>'Horno Eléctrico'!$FQ$2:$FQ$60</c:f>
              <c:numCache>
                <c:formatCode>0.0000</c:formatCode>
                <c:ptCount val="59"/>
                <c:pt idx="11">
                  <c:v>12.695652173913045</c:v>
                </c:pt>
                <c:pt idx="12">
                  <c:v>10.956521739130435</c:v>
                </c:pt>
                <c:pt idx="13">
                  <c:v>9.2173913043478262</c:v>
                </c:pt>
                <c:pt idx="14">
                  <c:v>7.4782608695652177</c:v>
                </c:pt>
                <c:pt idx="15">
                  <c:v>6.4347826086956532</c:v>
                </c:pt>
                <c:pt idx="16">
                  <c:v>5.7</c:v>
                </c:pt>
                <c:pt idx="17">
                  <c:v>4</c:v>
                </c:pt>
                <c:pt idx="18">
                  <c:v>3</c:v>
                </c:pt>
                <c:pt idx="19">
                  <c:v>2.8499999999999996</c:v>
                </c:pt>
                <c:pt idx="20">
                  <c:v>2.5</c:v>
                </c:pt>
                <c:pt idx="21">
                  <c:v>2</c:v>
                </c:pt>
                <c:pt idx="22">
                  <c:v>1.6923077</c:v>
                </c:pt>
                <c:pt idx="23">
                  <c:v>1.3846153999999999</c:v>
                </c:pt>
                <c:pt idx="24">
                  <c:v>1.0769231000000001</c:v>
                </c:pt>
                <c:pt idx="25">
                  <c:v>0.7692308000000001</c:v>
                </c:pt>
                <c:pt idx="26">
                  <c:v>0.46153850000000007</c:v>
                </c:pt>
                <c:pt idx="27">
                  <c:v>0.15384620000000027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72C-49CA-A904-E586AC70B20A}"/>
            </c:ext>
          </c:extLst>
        </c:ser>
        <c:ser>
          <c:idx val="6"/>
          <c:order val="6"/>
          <c:spPr>
            <a:ln>
              <a:solidFill>
                <a:srgbClr val="002060"/>
              </a:solidFill>
              <a:prstDash val="sysDot"/>
            </a:ln>
          </c:spPr>
          <c:marker>
            <c:symbol val="none"/>
          </c:marker>
          <c:dLbls>
            <c:dLbl>
              <c:idx val="53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72C-49CA-A904-E586AC70B20A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'Horno Eléctrico'!$FK$2:$FK$60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14.6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17.3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 formatCode="0.0">
                  <c:v>28.645219181086627</c:v>
                </c:pt>
              </c:numCache>
            </c:numRef>
          </c:xVal>
          <c:yVal>
            <c:numRef>
              <c:f>'Horno Eléctrico'!$FR$2:$FR$60</c:f>
              <c:numCache>
                <c:formatCode>0.0000</c:formatCode>
                <c:ptCount val="59"/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72C-49CA-A904-E586AC70B20A}"/>
            </c:ext>
          </c:extLst>
        </c:ser>
        <c:ser>
          <c:idx val="7"/>
          <c:order val="7"/>
          <c:spPr>
            <a:ln>
              <a:solidFill>
                <a:srgbClr val="002060"/>
              </a:solidFill>
            </a:ln>
          </c:spPr>
          <c:marker>
            <c:symbol val="none"/>
          </c:marker>
          <c:dPt>
            <c:idx val="12"/>
            <c:bubble3D val="0"/>
            <c:spPr>
              <a:ln>
                <a:solidFill>
                  <a:srgbClr val="002060"/>
                </a:solidFill>
                <a:prstDash val="sysDot"/>
              </a:ln>
            </c:spPr>
            <c:extLst>
              <c:ext xmlns:c16="http://schemas.microsoft.com/office/drawing/2014/chart" uri="{C3380CC4-5D6E-409C-BE32-E72D297353CC}">
                <c16:uniqueId val="{0000000D-772C-49CA-A904-E586AC70B20A}"/>
              </c:ext>
            </c:extLst>
          </c:dPt>
          <c:dPt>
            <c:idx val="13"/>
            <c:bubble3D val="0"/>
            <c:spPr>
              <a:ln>
                <a:solidFill>
                  <a:srgbClr val="002060"/>
                </a:solidFill>
                <a:prstDash val="sysDot"/>
              </a:ln>
            </c:spPr>
            <c:extLst>
              <c:ext xmlns:c16="http://schemas.microsoft.com/office/drawing/2014/chart" uri="{C3380CC4-5D6E-409C-BE32-E72D297353CC}">
                <c16:uniqueId val="{0000000F-772C-49CA-A904-E586AC70B20A}"/>
              </c:ext>
            </c:extLst>
          </c:dPt>
          <c:dLbls>
            <c:dLbl>
              <c:idx val="53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72C-49CA-A904-E586AC70B20A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'Horno Eléctrico'!$FK$2:$FK$60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14.6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17.3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 formatCode="0.0">
                  <c:v>28.645219181086627</c:v>
                </c:pt>
              </c:numCache>
            </c:numRef>
          </c:xVal>
          <c:yVal>
            <c:numRef>
              <c:f>'Horno Eléctrico'!$FS$2:$FS$60</c:f>
              <c:numCache>
                <c:formatCode>0.0000</c:formatCode>
                <c:ptCount val="59"/>
                <c:pt idx="11">
                  <c:v>12.7</c:v>
                </c:pt>
                <c:pt idx="12">
                  <c:v>13.35</c:v>
                </c:pt>
                <c:pt idx="13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772C-49CA-A904-E586AC70B20A}"/>
            </c:ext>
          </c:extLst>
        </c:ser>
        <c:ser>
          <c:idx val="8"/>
          <c:order val="8"/>
          <c:marker>
            <c:symbol val="circle"/>
            <c:size val="9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delete val="1"/>
          </c:dLbls>
          <c:xVal>
            <c:numRef>
              <c:f>'Horno Eléctrico'!$FK$2:$FK$60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14.6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17.3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 formatCode="0.0">
                  <c:v>28.645219181086627</c:v>
                </c:pt>
              </c:numCache>
            </c:numRef>
          </c:xVal>
          <c:yVal>
            <c:numRef>
              <c:f>'Horno Eléctrico'!$FT$2:$FT$60</c:f>
              <c:numCache>
                <c:formatCode>General</c:formatCode>
                <c:ptCount val="59"/>
                <c:pt idx="58" formatCode="0.0">
                  <c:v>7.0087779864219186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772C-49CA-A904-E586AC70B20A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</c:dLbls>
        <c:axId val="-1508910704"/>
        <c:axId val="-1508915600"/>
      </c:scatterChart>
      <c:valAx>
        <c:axId val="-1508910704"/>
        <c:scaling>
          <c:orientation val="minMax"/>
          <c:max val="5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latin typeface="Arial Unicode MS" pitchFamily="34" charset="-128"/>
                    <a:ea typeface="Arial Unicode MS" pitchFamily="34" charset="-128"/>
                    <a:cs typeface="Arial Unicode MS" pitchFamily="34" charset="-128"/>
                  </a:rPr>
                  <a:t>%FeO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1508915600"/>
        <c:crosses val="autoZero"/>
        <c:crossBetween val="midCat"/>
        <c:majorUnit val="5"/>
      </c:valAx>
      <c:valAx>
        <c:axId val="-1508915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latin typeface="Arial Unicode MS" pitchFamily="34" charset="-128"/>
                    <a:ea typeface="Arial Unicode MS" pitchFamily="34" charset="-128"/>
                    <a:cs typeface="Arial Unicode MS" pitchFamily="34" charset="-128"/>
                  </a:rPr>
                  <a:t>%MgO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-150891070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plotVisOnly val="1"/>
    <c:dispBlanksAs val="gap"/>
    <c:showDLblsOverMax val="0"/>
  </c:chart>
  <c:printSettings>
    <c:headerFooter/>
    <c:pageMargins b="0.75000000000000921" l="0.70000000000000062" r="0.70000000000000062" t="0.7500000000000092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u="sng">
                <a:latin typeface="Arial Unicode MS" pitchFamily="34" charset="-128"/>
                <a:ea typeface="Arial Unicode MS" pitchFamily="34" charset="-128"/>
                <a:cs typeface="Arial Unicode MS" pitchFamily="34" charset="-128"/>
              </a:defRPr>
            </a:pPr>
            <a:r>
              <a:rPr lang="en-US" sz="1600" u="sng">
                <a:latin typeface="Arial Unicode MS" pitchFamily="34" charset="-128"/>
                <a:ea typeface="Arial Unicode MS" pitchFamily="34" charset="-128"/>
                <a:cs typeface="Arial Unicode MS" pitchFamily="34" charset="-128"/>
              </a:rPr>
              <a:t>Diagrama de solubilidad B3=1.5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352919295675012"/>
          <c:y val="0.14994876782272415"/>
          <c:w val="0.84205664575648731"/>
          <c:h val="0.7080065139008197"/>
        </c:manualLayout>
      </c:layout>
      <c:scatterChart>
        <c:scatterStyle val="smoothMarker"/>
        <c:varyColors val="0"/>
        <c:ser>
          <c:idx val="0"/>
          <c:order val="0"/>
          <c:spPr>
            <a:ln>
              <a:solidFill>
                <a:srgbClr val="002060"/>
              </a:solidFill>
            </a:ln>
          </c:spPr>
          <c:marker>
            <c:symbol val="none"/>
          </c:marker>
          <c:dLbls>
            <c:dLbl>
              <c:idx val="57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27A-4E04-973E-B825B9410E03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'Horno Eléctrico'!$FK$2:$FK$60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14.6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17.3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 formatCode="0.0">
                  <c:v>28.645219181086627</c:v>
                </c:pt>
              </c:numCache>
            </c:numRef>
          </c:xVal>
          <c:yVal>
            <c:numRef>
              <c:f>'Horno Eléctrico'!$FL$2:$FL$60</c:f>
              <c:numCache>
                <c:formatCode>0.0000</c:formatCode>
                <c:ptCount val="59"/>
                <c:pt idx="0">
                  <c:v>0</c:v>
                </c:pt>
                <c:pt idx="1">
                  <c:v>0.86301369863013699</c:v>
                </c:pt>
                <c:pt idx="2">
                  <c:v>1.726027397260274</c:v>
                </c:pt>
                <c:pt idx="3">
                  <c:v>2.5890410958904106</c:v>
                </c:pt>
                <c:pt idx="4">
                  <c:v>3.452054794520548</c:v>
                </c:pt>
                <c:pt idx="5">
                  <c:v>4.3150684931506849</c:v>
                </c:pt>
                <c:pt idx="6">
                  <c:v>5.1780821917808213</c:v>
                </c:pt>
                <c:pt idx="7">
                  <c:v>6.0410958904109595</c:v>
                </c:pt>
                <c:pt idx="8">
                  <c:v>6.904109589041096</c:v>
                </c:pt>
                <c:pt idx="9">
                  <c:v>7.7671232876712324</c:v>
                </c:pt>
                <c:pt idx="10">
                  <c:v>8.6301369863013697</c:v>
                </c:pt>
                <c:pt idx="11">
                  <c:v>9.493150684931507</c:v>
                </c:pt>
                <c:pt idx="12">
                  <c:v>10.356164383561643</c:v>
                </c:pt>
                <c:pt idx="13">
                  <c:v>11.21917808219178</c:v>
                </c:pt>
                <c:pt idx="14">
                  <c:v>12.082191780821919</c:v>
                </c:pt>
                <c:pt idx="15">
                  <c:v>12.6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7A-4E04-973E-B825B9410E03}"/>
            </c:ext>
          </c:extLst>
        </c:ser>
        <c:ser>
          <c:idx val="1"/>
          <c:order val="1"/>
          <c:spPr>
            <a:ln>
              <a:solidFill>
                <a:srgbClr val="002060"/>
              </a:solidFill>
            </a:ln>
          </c:spPr>
          <c:marker>
            <c:symbol val="none"/>
          </c:marker>
          <c:dLbls>
            <c:dLbl>
              <c:idx val="53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7A-4E04-973E-B825B9410E03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'Horno Eléctrico'!$FK$2:$FK$60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14.6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17.3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 formatCode="0.0">
                  <c:v>28.645219181086627</c:v>
                </c:pt>
              </c:numCache>
            </c:numRef>
          </c:xVal>
          <c:yVal>
            <c:numRef>
              <c:f>'Horno Eléctrico'!$FM$2:$FM$60</c:f>
              <c:numCache>
                <c:formatCode>0.0000</c:formatCode>
                <c:ptCount val="59"/>
                <c:pt idx="0">
                  <c:v>16.999659827586903</c:v>
                </c:pt>
                <c:pt idx="1">
                  <c:v>16.698313264053553</c:v>
                </c:pt>
                <c:pt idx="2">
                  <c:v>16.396966700520203</c:v>
                </c:pt>
                <c:pt idx="3">
                  <c:v>16.095620136986852</c:v>
                </c:pt>
                <c:pt idx="4">
                  <c:v>15.794273573453506</c:v>
                </c:pt>
                <c:pt idx="5">
                  <c:v>15.492927009920155</c:v>
                </c:pt>
                <c:pt idx="6">
                  <c:v>15.191580446386805</c:v>
                </c:pt>
                <c:pt idx="7">
                  <c:v>14.890233882853456</c:v>
                </c:pt>
                <c:pt idx="8">
                  <c:v>14.588887319320106</c:v>
                </c:pt>
                <c:pt idx="9">
                  <c:v>14.287540755786758</c:v>
                </c:pt>
                <c:pt idx="10">
                  <c:v>13.986194192253407</c:v>
                </c:pt>
                <c:pt idx="11">
                  <c:v>13.684847628720059</c:v>
                </c:pt>
                <c:pt idx="12">
                  <c:v>13.383501065186708</c:v>
                </c:pt>
                <c:pt idx="13">
                  <c:v>13.082154501653358</c:v>
                </c:pt>
                <c:pt idx="14">
                  <c:v>12.780807938120009</c:v>
                </c:pt>
                <c:pt idx="15">
                  <c:v>12.6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27A-4E04-973E-B825B9410E03}"/>
            </c:ext>
          </c:extLst>
        </c:ser>
        <c:ser>
          <c:idx val="2"/>
          <c:order val="2"/>
          <c:spPr>
            <a:ln>
              <a:solidFill>
                <a:srgbClr val="002060"/>
              </a:solidFill>
            </a:ln>
          </c:spPr>
          <c:marker>
            <c:symbol val="none"/>
          </c:marker>
          <c:dLbls>
            <c:dLbl>
              <c:idx val="53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27A-4E04-973E-B825B9410E03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'Horno Eléctrico'!$FK$2:$FK$60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14.6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17.3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 formatCode="0.0">
                  <c:v>28.645219181086627</c:v>
                </c:pt>
              </c:numCache>
            </c:numRef>
          </c:xVal>
          <c:yVal>
            <c:numRef>
              <c:f>'Horno Eléctrico'!$FN$2:$FN$60</c:f>
              <c:numCache>
                <c:formatCode>0.0000</c:formatCode>
                <c:ptCount val="59"/>
                <c:pt idx="15">
                  <c:v>12.6</c:v>
                </c:pt>
                <c:pt idx="16">
                  <c:v>11.68148148148148</c:v>
                </c:pt>
                <c:pt idx="17">
                  <c:v>9.3851851851851844</c:v>
                </c:pt>
                <c:pt idx="18">
                  <c:v>7.0888888888888877</c:v>
                </c:pt>
                <c:pt idx="19">
                  <c:v>6.3999999999999968</c:v>
                </c:pt>
                <c:pt idx="20">
                  <c:v>5.7777777777777786</c:v>
                </c:pt>
                <c:pt idx="21">
                  <c:v>4.8888888888888902</c:v>
                </c:pt>
                <c:pt idx="22">
                  <c:v>4.0000000000000018</c:v>
                </c:pt>
                <c:pt idx="23">
                  <c:v>3.6923076923076925</c:v>
                </c:pt>
                <c:pt idx="24">
                  <c:v>3.3846153846153846</c:v>
                </c:pt>
                <c:pt idx="25">
                  <c:v>3.0769230769230766</c:v>
                </c:pt>
                <c:pt idx="26">
                  <c:v>2.7692307692307692</c:v>
                </c:pt>
                <c:pt idx="27">
                  <c:v>2.4615384615384617</c:v>
                </c:pt>
                <c:pt idx="28">
                  <c:v>2.1538461538461537</c:v>
                </c:pt>
                <c:pt idx="29">
                  <c:v>1.8461538461538463</c:v>
                </c:pt>
                <c:pt idx="30">
                  <c:v>1.5384615384615383</c:v>
                </c:pt>
                <c:pt idx="31">
                  <c:v>1.2307692307692308</c:v>
                </c:pt>
                <c:pt idx="32">
                  <c:v>0.92307692307692291</c:v>
                </c:pt>
                <c:pt idx="33">
                  <c:v>0.61538461538461542</c:v>
                </c:pt>
                <c:pt idx="34">
                  <c:v>0.30769230769230749</c:v>
                </c:pt>
                <c:pt idx="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7A-4E04-973E-B825B9410E03}"/>
            </c:ext>
          </c:extLst>
        </c:ser>
        <c:ser>
          <c:idx val="3"/>
          <c:order val="3"/>
          <c:spPr>
            <a:ln>
              <a:solidFill>
                <a:srgbClr val="002060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'Horno Eléctrico'!$FK$2:$FK$60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14.6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17.3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 formatCode="0.0">
                  <c:v>28.645219181086627</c:v>
                </c:pt>
              </c:numCache>
            </c:numRef>
          </c:xVal>
          <c:yVal>
            <c:numRef>
              <c:f>'Horno Eléctrico'!$FO$2:$FO$60</c:f>
              <c:numCache>
                <c:formatCode>0.0000</c:formatCode>
                <c:ptCount val="59"/>
                <c:pt idx="15">
                  <c:v>12.599999543146557</c:v>
                </c:pt>
                <c:pt idx="16">
                  <c:v>12.573266874402533</c:v>
                </c:pt>
                <c:pt idx="17">
                  <c:v>12.50643520254247</c:v>
                </c:pt>
                <c:pt idx="18">
                  <c:v>12.439603530682406</c:v>
                </c:pt>
                <c:pt idx="19">
                  <c:v>12.419554029124388</c:v>
                </c:pt>
                <c:pt idx="20">
                  <c:v>12.372771858822343</c:v>
                </c:pt>
                <c:pt idx="21">
                  <c:v>12.30594018696228</c:v>
                </c:pt>
                <c:pt idx="22">
                  <c:v>12.239108515102217</c:v>
                </c:pt>
                <c:pt idx="23">
                  <c:v>12.172276843242152</c:v>
                </c:pt>
                <c:pt idx="24">
                  <c:v>12.10544517138209</c:v>
                </c:pt>
                <c:pt idx="25">
                  <c:v>12.038613499522025</c:v>
                </c:pt>
                <c:pt idx="26">
                  <c:v>11.971781827661964</c:v>
                </c:pt>
                <c:pt idx="27">
                  <c:v>11.904950155801899</c:v>
                </c:pt>
                <c:pt idx="28">
                  <c:v>11.838118483941836</c:v>
                </c:pt>
                <c:pt idx="29">
                  <c:v>11.771286812081772</c:v>
                </c:pt>
                <c:pt idx="30">
                  <c:v>11.704455140221709</c:v>
                </c:pt>
                <c:pt idx="31">
                  <c:v>11.637623468361646</c:v>
                </c:pt>
                <c:pt idx="32">
                  <c:v>11.570791796501583</c:v>
                </c:pt>
                <c:pt idx="33">
                  <c:v>11.50396012464152</c:v>
                </c:pt>
                <c:pt idx="34">
                  <c:v>11.437128452781456</c:v>
                </c:pt>
                <c:pt idx="35">
                  <c:v>11.370296780921393</c:v>
                </c:pt>
                <c:pt idx="36">
                  <c:v>11.30346510906133</c:v>
                </c:pt>
                <c:pt idx="37">
                  <c:v>11.236633437201267</c:v>
                </c:pt>
                <c:pt idx="38">
                  <c:v>11.169801765341203</c:v>
                </c:pt>
                <c:pt idx="39">
                  <c:v>11.10297009348114</c:v>
                </c:pt>
                <c:pt idx="40">
                  <c:v>11.036138421621077</c:v>
                </c:pt>
                <c:pt idx="41">
                  <c:v>10.969306749761014</c:v>
                </c:pt>
                <c:pt idx="42">
                  <c:v>10.90247507790095</c:v>
                </c:pt>
                <c:pt idx="43">
                  <c:v>10.835643406040887</c:v>
                </c:pt>
                <c:pt idx="44">
                  <c:v>10.768811734180824</c:v>
                </c:pt>
                <c:pt idx="45">
                  <c:v>10.701980062320761</c:v>
                </c:pt>
                <c:pt idx="46">
                  <c:v>10.635148390460696</c:v>
                </c:pt>
                <c:pt idx="47">
                  <c:v>10.568316718600634</c:v>
                </c:pt>
                <c:pt idx="48">
                  <c:v>10.501485046740569</c:v>
                </c:pt>
                <c:pt idx="49">
                  <c:v>10.434653374880506</c:v>
                </c:pt>
                <c:pt idx="50">
                  <c:v>10.367821703020443</c:v>
                </c:pt>
                <c:pt idx="51">
                  <c:v>10.30099003116038</c:v>
                </c:pt>
                <c:pt idx="52">
                  <c:v>10.234158359300316</c:v>
                </c:pt>
                <c:pt idx="53">
                  <c:v>10.167326687440253</c:v>
                </c:pt>
                <c:pt idx="54">
                  <c:v>10.10049501558019</c:v>
                </c:pt>
                <c:pt idx="55">
                  <c:v>10.033663343720127</c:v>
                </c:pt>
                <c:pt idx="56">
                  <c:v>9.9668316718600636</c:v>
                </c:pt>
                <c:pt idx="57">
                  <c:v>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7A-4E04-973E-B825B9410E03}"/>
            </c:ext>
          </c:extLst>
        </c:ser>
        <c:ser>
          <c:idx val="4"/>
          <c:order val="4"/>
          <c:spPr>
            <a:ln>
              <a:solidFill>
                <a:srgbClr val="002060"/>
              </a:solidFill>
              <a:prstDash val="sysDot"/>
            </a:ln>
          </c:spPr>
          <c:marker>
            <c:symbol val="none"/>
          </c:marker>
          <c:dLbls>
            <c:delete val="1"/>
          </c:dLbls>
          <c:xVal>
            <c:numRef>
              <c:f>'Horno Eléctrico'!$FK$2:$FK$60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14.6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17.3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 formatCode="0.0">
                  <c:v>28.645219181086627</c:v>
                </c:pt>
              </c:numCache>
            </c:numRef>
          </c:xVal>
          <c:yVal>
            <c:numRef>
              <c:f>'Horno Eléctrico'!$FP$2:$FP$60</c:f>
              <c:numCache>
                <c:formatCode>0.0000</c:formatCode>
                <c:ptCount val="59"/>
                <c:pt idx="18">
                  <c:v>14</c:v>
                </c:pt>
                <c:pt idx="19">
                  <c:v>13.978684210526316</c:v>
                </c:pt>
                <c:pt idx="20">
                  <c:v>13.928947368421053</c:v>
                </c:pt>
                <c:pt idx="21">
                  <c:v>13.857894736842105</c:v>
                </c:pt>
                <c:pt idx="22">
                  <c:v>13.786842105263158</c:v>
                </c:pt>
                <c:pt idx="23">
                  <c:v>13.715789473684211</c:v>
                </c:pt>
                <c:pt idx="24">
                  <c:v>13.644736842105264</c:v>
                </c:pt>
                <c:pt idx="25">
                  <c:v>13.573684210526316</c:v>
                </c:pt>
                <c:pt idx="26">
                  <c:v>13.502631578947369</c:v>
                </c:pt>
                <c:pt idx="27">
                  <c:v>13.431578947368422</c:v>
                </c:pt>
                <c:pt idx="28">
                  <c:v>13.360526315789473</c:v>
                </c:pt>
                <c:pt idx="29">
                  <c:v>13.289473684210526</c:v>
                </c:pt>
                <c:pt idx="30">
                  <c:v>13.218421052631578</c:v>
                </c:pt>
                <c:pt idx="31">
                  <c:v>13.147368421052631</c:v>
                </c:pt>
                <c:pt idx="32">
                  <c:v>13.076315789473684</c:v>
                </c:pt>
                <c:pt idx="33">
                  <c:v>13.005263157894737</c:v>
                </c:pt>
                <c:pt idx="34">
                  <c:v>12.934210526315789</c:v>
                </c:pt>
                <c:pt idx="35">
                  <c:v>12.863157894736842</c:v>
                </c:pt>
                <c:pt idx="36">
                  <c:v>12.792105263157895</c:v>
                </c:pt>
                <c:pt idx="37">
                  <c:v>12.721052631578948</c:v>
                </c:pt>
                <c:pt idx="38">
                  <c:v>12.65</c:v>
                </c:pt>
                <c:pt idx="39">
                  <c:v>12.578947368421053</c:v>
                </c:pt>
                <c:pt idx="40">
                  <c:v>12.507894736842106</c:v>
                </c:pt>
                <c:pt idx="41">
                  <c:v>12.436842105263159</c:v>
                </c:pt>
                <c:pt idx="42">
                  <c:v>12.36578947368421</c:v>
                </c:pt>
                <c:pt idx="43">
                  <c:v>12.294736842105262</c:v>
                </c:pt>
                <c:pt idx="44">
                  <c:v>12.223684210526315</c:v>
                </c:pt>
                <c:pt idx="45">
                  <c:v>12.152631578947368</c:v>
                </c:pt>
                <c:pt idx="46">
                  <c:v>12.081578947368421</c:v>
                </c:pt>
                <c:pt idx="47">
                  <c:v>12.010526315789473</c:v>
                </c:pt>
                <c:pt idx="48">
                  <c:v>11.939473684210526</c:v>
                </c:pt>
                <c:pt idx="49">
                  <c:v>11.868421052631579</c:v>
                </c:pt>
                <c:pt idx="50">
                  <c:v>11.797368421052632</c:v>
                </c:pt>
                <c:pt idx="51">
                  <c:v>11.726315789473684</c:v>
                </c:pt>
                <c:pt idx="52">
                  <c:v>11.655263157894737</c:v>
                </c:pt>
                <c:pt idx="53">
                  <c:v>11.58421052631579</c:v>
                </c:pt>
                <c:pt idx="54">
                  <c:v>11.513157894736842</c:v>
                </c:pt>
                <c:pt idx="55">
                  <c:v>11.442105263157895</c:v>
                </c:pt>
                <c:pt idx="56">
                  <c:v>11.371052631578948</c:v>
                </c:pt>
                <c:pt idx="57">
                  <c:v>11.3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7A-4E04-973E-B825B9410E03}"/>
            </c:ext>
          </c:extLst>
        </c:ser>
        <c:ser>
          <c:idx val="5"/>
          <c:order val="5"/>
          <c:spPr>
            <a:ln>
              <a:solidFill>
                <a:srgbClr val="002060"/>
              </a:solidFill>
              <a:prstDash val="sysDot"/>
            </a:ln>
          </c:spPr>
          <c:marker>
            <c:symbol val="none"/>
          </c:marker>
          <c:dLbls>
            <c:dLbl>
              <c:idx val="53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27A-4E04-973E-B825B9410E03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'Horno Eléctrico'!$FK$2:$FK$60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14.6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17.3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 formatCode="0.0">
                  <c:v>28.645219181086627</c:v>
                </c:pt>
              </c:numCache>
            </c:numRef>
          </c:xVal>
          <c:yVal>
            <c:numRef>
              <c:f>'Horno Eléctrico'!$FQ$2:$FQ$60</c:f>
              <c:numCache>
                <c:formatCode>0.0000</c:formatCode>
                <c:ptCount val="59"/>
                <c:pt idx="11">
                  <c:v>12.695652173913045</c:v>
                </c:pt>
                <c:pt idx="12">
                  <c:v>10.956521739130435</c:v>
                </c:pt>
                <c:pt idx="13">
                  <c:v>9.2173913043478262</c:v>
                </c:pt>
                <c:pt idx="14">
                  <c:v>7.4782608695652177</c:v>
                </c:pt>
                <c:pt idx="15">
                  <c:v>6.4347826086956532</c:v>
                </c:pt>
                <c:pt idx="16">
                  <c:v>5.7</c:v>
                </c:pt>
                <c:pt idx="17">
                  <c:v>4</c:v>
                </c:pt>
                <c:pt idx="18">
                  <c:v>3</c:v>
                </c:pt>
                <c:pt idx="19">
                  <c:v>2.8499999999999996</c:v>
                </c:pt>
                <c:pt idx="20">
                  <c:v>2.5</c:v>
                </c:pt>
                <c:pt idx="21">
                  <c:v>2</c:v>
                </c:pt>
                <c:pt idx="22">
                  <c:v>1.6923077</c:v>
                </c:pt>
                <c:pt idx="23">
                  <c:v>1.3846153999999999</c:v>
                </c:pt>
                <c:pt idx="24">
                  <c:v>1.0769231000000001</c:v>
                </c:pt>
                <c:pt idx="25">
                  <c:v>0.7692308000000001</c:v>
                </c:pt>
                <c:pt idx="26">
                  <c:v>0.46153850000000007</c:v>
                </c:pt>
                <c:pt idx="27">
                  <c:v>0.15384620000000027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27A-4E04-973E-B825B9410E03}"/>
            </c:ext>
          </c:extLst>
        </c:ser>
        <c:ser>
          <c:idx val="6"/>
          <c:order val="6"/>
          <c:spPr>
            <a:ln>
              <a:solidFill>
                <a:srgbClr val="002060"/>
              </a:solidFill>
              <a:prstDash val="sysDot"/>
            </a:ln>
          </c:spPr>
          <c:marker>
            <c:symbol val="none"/>
          </c:marker>
          <c:dLbls>
            <c:dLbl>
              <c:idx val="53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27A-4E04-973E-B825B9410E03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'Horno Eléctrico'!$FK$2:$FK$60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14.6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17.3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 formatCode="0.0">
                  <c:v>28.645219181086627</c:v>
                </c:pt>
              </c:numCache>
            </c:numRef>
          </c:xVal>
          <c:yVal>
            <c:numRef>
              <c:f>'Horno Eléctrico'!$FR$2:$FR$60</c:f>
              <c:numCache>
                <c:formatCode>0.0000</c:formatCode>
                <c:ptCount val="59"/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27A-4E04-973E-B825B9410E03}"/>
            </c:ext>
          </c:extLst>
        </c:ser>
        <c:ser>
          <c:idx val="7"/>
          <c:order val="7"/>
          <c:spPr>
            <a:ln>
              <a:solidFill>
                <a:srgbClr val="002060"/>
              </a:solidFill>
            </a:ln>
          </c:spPr>
          <c:marker>
            <c:symbol val="none"/>
          </c:marker>
          <c:dPt>
            <c:idx val="12"/>
            <c:bubble3D val="0"/>
            <c:spPr>
              <a:ln>
                <a:solidFill>
                  <a:srgbClr val="002060"/>
                </a:solidFill>
                <a:prstDash val="sysDot"/>
              </a:ln>
            </c:spPr>
            <c:extLst>
              <c:ext xmlns:c16="http://schemas.microsoft.com/office/drawing/2014/chart" uri="{C3380CC4-5D6E-409C-BE32-E72D297353CC}">
                <c16:uniqueId val="{0000000D-227A-4E04-973E-B825B9410E03}"/>
              </c:ext>
            </c:extLst>
          </c:dPt>
          <c:dPt>
            <c:idx val="13"/>
            <c:bubble3D val="0"/>
            <c:spPr>
              <a:ln>
                <a:solidFill>
                  <a:srgbClr val="002060"/>
                </a:solidFill>
                <a:prstDash val="sysDot"/>
              </a:ln>
            </c:spPr>
            <c:extLst>
              <c:ext xmlns:c16="http://schemas.microsoft.com/office/drawing/2014/chart" uri="{C3380CC4-5D6E-409C-BE32-E72D297353CC}">
                <c16:uniqueId val="{0000000F-227A-4E04-973E-B825B9410E03}"/>
              </c:ext>
            </c:extLst>
          </c:dPt>
          <c:dLbls>
            <c:dLbl>
              <c:idx val="53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27A-4E04-973E-B825B9410E03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'Horno Eléctrico'!$FK$2:$FK$60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14.6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17.3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 formatCode="0.0">
                  <c:v>28.645219181086627</c:v>
                </c:pt>
              </c:numCache>
            </c:numRef>
          </c:xVal>
          <c:yVal>
            <c:numRef>
              <c:f>'Horno Eléctrico'!$FS$2:$FS$60</c:f>
              <c:numCache>
                <c:formatCode>0.0000</c:formatCode>
                <c:ptCount val="59"/>
                <c:pt idx="11">
                  <c:v>12.7</c:v>
                </c:pt>
                <c:pt idx="12">
                  <c:v>13.35</c:v>
                </c:pt>
                <c:pt idx="13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227A-4E04-973E-B825B9410E03}"/>
            </c:ext>
          </c:extLst>
        </c:ser>
        <c:ser>
          <c:idx val="8"/>
          <c:order val="8"/>
          <c:marker>
            <c:symbol val="circle"/>
            <c:size val="9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delete val="1"/>
          </c:dLbls>
          <c:xVal>
            <c:numRef>
              <c:f>'Horno Eléctrico'!$FK$2:$FK$60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14.6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17.3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 formatCode="0.0">
                  <c:v>28.645219181086627</c:v>
                </c:pt>
              </c:numCache>
            </c:numRef>
          </c:xVal>
          <c:yVal>
            <c:numRef>
              <c:f>'Horno Eléctrico'!$FT$2:$FT$60</c:f>
              <c:numCache>
                <c:formatCode>General</c:formatCode>
                <c:ptCount val="59"/>
                <c:pt idx="58" formatCode="0.0">
                  <c:v>7.0087779864219186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227A-4E04-973E-B825B9410E03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</c:dLbls>
        <c:axId val="-1508904720"/>
        <c:axId val="-1508910160"/>
      </c:scatterChart>
      <c:valAx>
        <c:axId val="-1508904720"/>
        <c:scaling>
          <c:orientation val="minMax"/>
          <c:max val="5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latin typeface="Arial Unicode MS" pitchFamily="34" charset="-128"/>
                    <a:ea typeface="Arial Unicode MS" pitchFamily="34" charset="-128"/>
                    <a:cs typeface="Arial Unicode MS" pitchFamily="34" charset="-128"/>
                  </a:rPr>
                  <a:t>%FeO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1508910160"/>
        <c:crosses val="autoZero"/>
        <c:crossBetween val="midCat"/>
        <c:majorUnit val="5"/>
      </c:valAx>
      <c:valAx>
        <c:axId val="-1508910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latin typeface="Arial Unicode MS" pitchFamily="34" charset="-128"/>
                    <a:ea typeface="Arial Unicode MS" pitchFamily="34" charset="-128"/>
                    <a:cs typeface="Arial Unicode MS" pitchFamily="34" charset="-128"/>
                  </a:rPr>
                  <a:t>%MgO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-1508904720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plotVisOnly val="1"/>
    <c:dispBlanksAs val="gap"/>
    <c:showDLblsOverMax val="0"/>
  </c:chart>
  <c:printSettings>
    <c:headerFooter/>
    <c:pageMargins b="0.75000000000000944" l="0.70000000000000062" r="0.70000000000000062" t="0.750000000000009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6" Type="http://schemas.openxmlformats.org/officeDocument/2006/relationships/image" Target="../media/image5.jpeg"/><Relationship Id="rId5" Type="http://schemas.openxmlformats.org/officeDocument/2006/relationships/image" Target="../media/image4.jpeg"/><Relationship Id="rId4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emf"/><Relationship Id="rId4" Type="http://schemas.openxmlformats.org/officeDocument/2006/relationships/image" Target="../media/image9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chart" Target="../charts/chart2.xml"/><Relationship Id="rId6" Type="http://schemas.openxmlformats.org/officeDocument/2006/relationships/image" Target="../media/image5.jpeg"/><Relationship Id="rId5" Type="http://schemas.openxmlformats.org/officeDocument/2006/relationships/image" Target="../media/image4.jpeg"/><Relationship Id="rId4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179292</xdr:colOff>
      <xdr:row>13</xdr:row>
      <xdr:rowOff>145675</xdr:rowOff>
    </xdr:from>
    <xdr:to>
      <xdr:col>18</xdr:col>
      <xdr:colOff>605115</xdr:colOff>
      <xdr:row>37</xdr:row>
      <xdr:rowOff>33615</xdr:rowOff>
    </xdr:to>
    <xdr:grpSp>
      <xdr:nvGrpSpPr>
        <xdr:cNvPr id="26" name="25 Grupo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pSpPr/>
      </xdr:nvGrpSpPr>
      <xdr:grpSpPr>
        <a:xfrm>
          <a:off x="7173926" y="2457951"/>
          <a:ext cx="5696761" cy="4155140"/>
          <a:chOff x="13691601" y="78442"/>
          <a:chExt cx="6558881" cy="4784912"/>
        </a:xfrm>
      </xdr:grpSpPr>
      <xdr:graphicFrame macro="">
        <xdr:nvGraphicFramePr>
          <xdr:cNvPr id="19" name="18 Gráfico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GraphicFramePr/>
        </xdr:nvGraphicFramePr>
        <xdr:xfrm>
          <a:off x="13691601" y="78442"/>
          <a:ext cx="6558881" cy="478491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20" name="19 CuadroTexto">
            <a:extLst>
              <a:ext uri="{FF2B5EF4-FFF2-40B4-BE49-F238E27FC236}">
                <a16:creationId xmlns:a16="http://schemas.microsoft.com/office/drawing/2014/main" id="{00000000-0008-0000-0100-000014000000}"/>
              </a:ext>
            </a:extLst>
          </xdr:cNvPr>
          <xdr:cNvSpPr txBox="1"/>
        </xdr:nvSpPr>
        <xdr:spPr>
          <a:xfrm>
            <a:off x="17503589" y="2543735"/>
            <a:ext cx="336176" cy="5266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en-US" sz="1100" b="1">
                <a:latin typeface="Arial Unicode MS" pitchFamily="34" charset="-128"/>
                <a:ea typeface="Arial Unicode MS" pitchFamily="34" charset="-128"/>
                <a:cs typeface="Arial Unicode MS" pitchFamily="34" charset="-128"/>
              </a:rPr>
              <a:t>L</a:t>
            </a:r>
          </a:p>
        </xdr:txBody>
      </xdr:sp>
      <xdr:sp macro="" textlink="">
        <xdr:nvSpPr>
          <xdr:cNvPr id="21" name="20 CuadroTexto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SpPr txBox="1"/>
        </xdr:nvSpPr>
        <xdr:spPr>
          <a:xfrm>
            <a:off x="18007855" y="1098176"/>
            <a:ext cx="1008527" cy="52667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en-US" sz="1100" b="1">
                <a:latin typeface="Arial Unicode MS" pitchFamily="34" charset="-128"/>
                <a:ea typeface="Arial Unicode MS" pitchFamily="34" charset="-128"/>
                <a:cs typeface="Arial Unicode MS" pitchFamily="34" charset="-128"/>
              </a:rPr>
              <a:t>MW + L</a:t>
            </a:r>
          </a:p>
        </xdr:txBody>
      </xdr:sp>
      <xdr:sp macro="" textlink="">
        <xdr:nvSpPr>
          <xdr:cNvPr id="22" name="21 CuadroTexto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SpPr txBox="1"/>
        </xdr:nvSpPr>
        <xdr:spPr>
          <a:xfrm>
            <a:off x="15318444" y="3048001"/>
            <a:ext cx="649940" cy="12438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pPr algn="ctr"/>
            <a:r>
              <a:rPr lang="en-US" sz="1000" b="1">
                <a:latin typeface="Arial Unicode MS" pitchFamily="34" charset="-128"/>
                <a:ea typeface="Arial Unicode MS" pitchFamily="34" charset="-128"/>
                <a:cs typeface="Arial Unicode MS" pitchFamily="34" charset="-128"/>
              </a:rPr>
              <a:t>C2S</a:t>
            </a:r>
          </a:p>
          <a:p>
            <a:pPr algn="ctr"/>
            <a:r>
              <a:rPr lang="en-US" sz="1000" b="1">
                <a:latin typeface="Arial Unicode MS" pitchFamily="34" charset="-128"/>
                <a:ea typeface="Arial Unicode MS" pitchFamily="34" charset="-128"/>
                <a:cs typeface="Arial Unicode MS" pitchFamily="34" charset="-128"/>
              </a:rPr>
              <a:t>+</a:t>
            </a:r>
          </a:p>
          <a:p>
            <a:pPr algn="ctr"/>
            <a:r>
              <a:rPr lang="en-US" sz="1000" b="1">
                <a:latin typeface="Arial Unicode MS" pitchFamily="34" charset="-128"/>
                <a:ea typeface="Arial Unicode MS" pitchFamily="34" charset="-128"/>
                <a:cs typeface="Arial Unicode MS" pitchFamily="34" charset="-128"/>
              </a:rPr>
              <a:t>L</a:t>
            </a:r>
          </a:p>
        </xdr:txBody>
      </xdr:sp>
      <xdr:sp macro="" textlink="">
        <xdr:nvSpPr>
          <xdr:cNvPr id="25" name="24 CuadroTexto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SpPr txBox="1"/>
        </xdr:nvSpPr>
        <xdr:spPr>
          <a:xfrm>
            <a:off x="14545234" y="1580342"/>
            <a:ext cx="605119" cy="1683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pPr algn="ctr"/>
            <a:r>
              <a:rPr lang="en-US" sz="1000" b="1">
                <a:latin typeface="Arial Unicode MS" pitchFamily="34" charset="-128"/>
                <a:ea typeface="Arial Unicode MS" pitchFamily="34" charset="-128"/>
                <a:cs typeface="Arial Unicode MS" pitchFamily="34" charset="-128"/>
              </a:rPr>
              <a:t>C2S </a:t>
            </a:r>
          </a:p>
          <a:p>
            <a:pPr algn="ctr"/>
            <a:r>
              <a:rPr lang="en-US" sz="1000" b="1">
                <a:latin typeface="Arial Unicode MS" pitchFamily="34" charset="-128"/>
                <a:ea typeface="Arial Unicode MS" pitchFamily="34" charset="-128"/>
                <a:cs typeface="Arial Unicode MS" pitchFamily="34" charset="-128"/>
              </a:rPr>
              <a:t>+</a:t>
            </a:r>
          </a:p>
          <a:p>
            <a:pPr algn="ctr"/>
            <a:r>
              <a:rPr lang="en-US" sz="1000" b="1">
                <a:latin typeface="Arial Unicode MS" pitchFamily="34" charset="-128"/>
                <a:ea typeface="Arial Unicode MS" pitchFamily="34" charset="-128"/>
                <a:cs typeface="Arial Unicode MS" pitchFamily="34" charset="-128"/>
              </a:rPr>
              <a:t>MW </a:t>
            </a:r>
          </a:p>
          <a:p>
            <a:pPr algn="ctr"/>
            <a:r>
              <a:rPr lang="en-US" sz="1000" b="1">
                <a:latin typeface="Arial Unicode MS" pitchFamily="34" charset="-128"/>
                <a:ea typeface="Arial Unicode MS" pitchFamily="34" charset="-128"/>
                <a:cs typeface="Arial Unicode MS" pitchFamily="34" charset="-128"/>
              </a:rPr>
              <a:t>+ </a:t>
            </a:r>
          </a:p>
          <a:p>
            <a:pPr algn="ctr"/>
            <a:r>
              <a:rPr lang="en-US" sz="1000" b="1">
                <a:latin typeface="Arial Unicode MS" pitchFamily="34" charset="-128"/>
                <a:ea typeface="Arial Unicode MS" pitchFamily="34" charset="-128"/>
                <a:cs typeface="Arial Unicode MS" pitchFamily="34" charset="-128"/>
              </a:rPr>
              <a:t>L</a:t>
            </a:r>
          </a:p>
        </xdr:txBody>
      </xdr:sp>
    </xdr:grpSp>
    <xdr:clientData/>
  </xdr:twoCellAnchor>
  <xdr:twoCellAnchor editAs="oneCell">
    <xdr:from>
      <xdr:col>7</xdr:col>
      <xdr:colOff>0</xdr:colOff>
      <xdr:row>78</xdr:row>
      <xdr:rowOff>14009</xdr:rowOff>
    </xdr:from>
    <xdr:to>
      <xdr:col>10</xdr:col>
      <xdr:colOff>149409</xdr:colOff>
      <xdr:row>88</xdr:row>
      <xdr:rowOff>11207</xdr:rowOff>
    </xdr:to>
    <xdr:pic>
      <xdr:nvPicPr>
        <xdr:cNvPr id="8" name="7 Imagen" descr="BOX1.jpg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513294" y="13124891"/>
          <a:ext cx="1998379" cy="1566021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78</xdr:row>
      <xdr:rowOff>11206</xdr:rowOff>
    </xdr:from>
    <xdr:to>
      <xdr:col>15</xdr:col>
      <xdr:colOff>11206</xdr:colOff>
      <xdr:row>88</xdr:row>
      <xdr:rowOff>11207</xdr:rowOff>
    </xdr:to>
    <xdr:pic>
      <xdr:nvPicPr>
        <xdr:cNvPr id="9" name="8 Imagen" descr="BOX2.jpg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978588" y="13122088"/>
          <a:ext cx="1972235" cy="1568824"/>
        </a:xfrm>
        <a:prstGeom prst="rect">
          <a:avLst/>
        </a:prstGeom>
      </xdr:spPr>
    </xdr:pic>
    <xdr:clientData/>
  </xdr:twoCellAnchor>
  <xdr:twoCellAnchor editAs="oneCell">
    <xdr:from>
      <xdr:col>6</xdr:col>
      <xdr:colOff>605117</xdr:colOff>
      <xdr:row>90</xdr:row>
      <xdr:rowOff>14007</xdr:rowOff>
    </xdr:from>
    <xdr:to>
      <xdr:col>10</xdr:col>
      <xdr:colOff>134470</xdr:colOff>
      <xdr:row>100</xdr:row>
      <xdr:rowOff>11205</xdr:rowOff>
    </xdr:to>
    <xdr:pic>
      <xdr:nvPicPr>
        <xdr:cNvPr id="10" name="9 Imagen" descr="BOX3.jpg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5513293" y="15007478"/>
          <a:ext cx="1983441" cy="1566022"/>
        </a:xfrm>
        <a:prstGeom prst="rect">
          <a:avLst/>
        </a:prstGeom>
      </xdr:spPr>
    </xdr:pic>
    <xdr:clientData/>
  </xdr:twoCellAnchor>
  <xdr:twoCellAnchor editAs="oneCell">
    <xdr:from>
      <xdr:col>12</xdr:col>
      <xdr:colOff>11205</xdr:colOff>
      <xdr:row>90</xdr:row>
      <xdr:rowOff>11205</xdr:rowOff>
    </xdr:from>
    <xdr:to>
      <xdr:col>15</xdr:col>
      <xdr:colOff>1</xdr:colOff>
      <xdr:row>100</xdr:row>
      <xdr:rowOff>11205</xdr:rowOff>
    </xdr:to>
    <xdr:pic>
      <xdr:nvPicPr>
        <xdr:cNvPr id="11" name="10 Imagen" descr="BOX4.jpg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7989793" y="15004676"/>
          <a:ext cx="1949825" cy="1568824"/>
        </a:xfrm>
        <a:prstGeom prst="rect">
          <a:avLst/>
        </a:prstGeom>
      </xdr:spPr>
    </xdr:pic>
    <xdr:clientData/>
  </xdr:twoCellAnchor>
  <xdr:twoCellAnchor editAs="oneCell">
    <xdr:from>
      <xdr:col>15</xdr:col>
      <xdr:colOff>313765</xdr:colOff>
      <xdr:row>78</xdr:row>
      <xdr:rowOff>2</xdr:rowOff>
    </xdr:from>
    <xdr:to>
      <xdr:col>17</xdr:col>
      <xdr:colOff>728382</xdr:colOff>
      <xdr:row>88</xdr:row>
      <xdr:rowOff>11207</xdr:rowOff>
    </xdr:to>
    <xdr:pic>
      <xdr:nvPicPr>
        <xdr:cNvPr id="12" name="11 Imagen" descr="BOX5.jpg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0253383" y="13110884"/>
          <a:ext cx="1983441" cy="15800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447676</xdr:colOff>
      <xdr:row>0</xdr:row>
      <xdr:rowOff>0</xdr:rowOff>
    </xdr:from>
    <xdr:to>
      <xdr:col>7</xdr:col>
      <xdr:colOff>400051</xdr:colOff>
      <xdr:row>0</xdr:row>
      <xdr:rowOff>0</xdr:rowOff>
    </xdr:to>
    <xdr:cxnSp macro="">
      <xdr:nvCxnSpPr>
        <xdr:cNvPr id="5" name="4 Conector recto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rot="5400000">
          <a:off x="1704976" y="1438275"/>
          <a:ext cx="5057775" cy="300037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623311</xdr:colOff>
      <xdr:row>0</xdr:row>
      <xdr:rowOff>0</xdr:rowOff>
    </xdr:from>
    <xdr:to>
      <xdr:col>17</xdr:col>
      <xdr:colOff>389964</xdr:colOff>
      <xdr:row>11</xdr:row>
      <xdr:rowOff>169240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776836" y="0"/>
          <a:ext cx="3786203" cy="2264740"/>
        </a:xfrm>
        <a:prstGeom prst="rect">
          <a:avLst/>
        </a:prstGeom>
        <a:noFill/>
      </xdr:spPr>
    </xdr:pic>
    <xdr:clientData/>
  </xdr:twoCellAnchor>
  <xdr:twoCellAnchor>
    <xdr:from>
      <xdr:col>12</xdr:col>
      <xdr:colOff>371475</xdr:colOff>
      <xdr:row>5</xdr:row>
      <xdr:rowOff>123825</xdr:rowOff>
    </xdr:from>
    <xdr:to>
      <xdr:col>16</xdr:col>
      <xdr:colOff>714375</xdr:colOff>
      <xdr:row>5</xdr:row>
      <xdr:rowOff>123825</xdr:rowOff>
    </xdr:to>
    <xdr:cxnSp macro="">
      <xdr:nvCxnSpPr>
        <xdr:cNvPr id="3" name="2 Conector rect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10287000" y="1076325"/>
          <a:ext cx="31146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342901</xdr:colOff>
      <xdr:row>3</xdr:row>
      <xdr:rowOff>9525</xdr:rowOff>
    </xdr:from>
    <xdr:to>
      <xdr:col>15</xdr:col>
      <xdr:colOff>361951</xdr:colOff>
      <xdr:row>10</xdr:row>
      <xdr:rowOff>0</xdr:rowOff>
    </xdr:to>
    <xdr:cxnSp macro="">
      <xdr:nvCxnSpPr>
        <xdr:cNvPr id="4" name="3 Conector recto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 rot="16200000" flipV="1">
          <a:off x="11615738" y="1233488"/>
          <a:ext cx="1323975" cy="1905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371481</xdr:colOff>
      <xdr:row>3</xdr:row>
      <xdr:rowOff>95253</xdr:rowOff>
    </xdr:from>
    <xdr:to>
      <xdr:col>16</xdr:col>
      <xdr:colOff>428625</xdr:colOff>
      <xdr:row>3</xdr:row>
      <xdr:rowOff>104776</xdr:rowOff>
    </xdr:to>
    <xdr:cxnSp macro="">
      <xdr:nvCxnSpPr>
        <xdr:cNvPr id="5" name="4 Conector recto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rot="10800000">
          <a:off x="10287006" y="666753"/>
          <a:ext cx="2828919" cy="9523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516055</xdr:colOff>
      <xdr:row>26</xdr:row>
      <xdr:rowOff>22409</xdr:rowOff>
    </xdr:from>
    <xdr:to>
      <xdr:col>17</xdr:col>
      <xdr:colOff>729640</xdr:colOff>
      <xdr:row>51</xdr:row>
      <xdr:rowOff>33618</xdr:rowOff>
    </xdr:to>
    <xdr:pic>
      <xdr:nvPicPr>
        <xdr:cNvPr id="6" name="Picture 13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145580" y="4975409"/>
          <a:ext cx="5757135" cy="4773709"/>
        </a:xfrm>
        <a:prstGeom prst="rect">
          <a:avLst/>
        </a:prstGeom>
        <a:noFill/>
      </xdr:spPr>
    </xdr:pic>
    <xdr:clientData/>
  </xdr:twoCellAnchor>
  <xdr:twoCellAnchor>
    <xdr:from>
      <xdr:col>10</xdr:col>
      <xdr:colOff>549088</xdr:colOff>
      <xdr:row>39</xdr:row>
      <xdr:rowOff>44824</xdr:rowOff>
    </xdr:from>
    <xdr:to>
      <xdr:col>17</xdr:col>
      <xdr:colOff>459441</xdr:colOff>
      <xdr:row>50</xdr:row>
      <xdr:rowOff>134471</xdr:rowOff>
    </xdr:to>
    <xdr:cxnSp macro="">
      <xdr:nvCxnSpPr>
        <xdr:cNvPr id="7" name="6 Conector rect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CxnSpPr/>
      </xdr:nvCxnSpPr>
      <xdr:spPr>
        <a:xfrm>
          <a:off x="8940613" y="7474324"/>
          <a:ext cx="4968128" cy="2185147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784435</xdr:colOff>
      <xdr:row>27</xdr:row>
      <xdr:rowOff>78442</xdr:rowOff>
    </xdr:from>
    <xdr:to>
      <xdr:col>16</xdr:col>
      <xdr:colOff>437053</xdr:colOff>
      <xdr:row>49</xdr:row>
      <xdr:rowOff>44825</xdr:rowOff>
    </xdr:to>
    <xdr:cxnSp macro="">
      <xdr:nvCxnSpPr>
        <xdr:cNvPr id="8" name="7 Conector recto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CxnSpPr/>
      </xdr:nvCxnSpPr>
      <xdr:spPr>
        <a:xfrm rot="5400000" flipH="1" flipV="1">
          <a:off x="9833465" y="6088437"/>
          <a:ext cx="4157383" cy="2424393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201731</xdr:colOff>
      <xdr:row>27</xdr:row>
      <xdr:rowOff>78442</xdr:rowOff>
    </xdr:from>
    <xdr:to>
      <xdr:col>15</xdr:col>
      <xdr:colOff>616349</xdr:colOff>
      <xdr:row>49</xdr:row>
      <xdr:rowOff>44825</xdr:rowOff>
    </xdr:to>
    <xdr:cxnSp macro="">
      <xdr:nvCxnSpPr>
        <xdr:cNvPr id="9" name="8 Conector recto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 rot="5400000" flipH="1" flipV="1">
          <a:off x="9250761" y="6088437"/>
          <a:ext cx="4157383" cy="2424393"/>
        </a:xfrm>
        <a:prstGeom prst="line">
          <a:avLst/>
        </a:prstGeom>
        <a:ln w="1905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392207</xdr:colOff>
      <xdr:row>31</xdr:row>
      <xdr:rowOff>67378</xdr:rowOff>
    </xdr:from>
    <xdr:to>
      <xdr:col>9</xdr:col>
      <xdr:colOff>169770</xdr:colOff>
      <xdr:row>53</xdr:row>
      <xdr:rowOff>88528</xdr:rowOff>
    </xdr:to>
    <xdr:pic>
      <xdr:nvPicPr>
        <xdr:cNvPr id="10" name="Picture 14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735357" y="5972878"/>
          <a:ext cx="5105960" cy="4212150"/>
        </a:xfrm>
        <a:prstGeom prst="rect">
          <a:avLst/>
        </a:prstGeom>
        <a:noFill/>
      </xdr:spPr>
    </xdr:pic>
    <xdr:clientData/>
  </xdr:twoCellAnchor>
  <xdr:twoCellAnchor>
    <xdr:from>
      <xdr:col>3</xdr:col>
      <xdr:colOff>33618</xdr:colOff>
      <xdr:row>44</xdr:row>
      <xdr:rowOff>56030</xdr:rowOff>
    </xdr:from>
    <xdr:to>
      <xdr:col>9</xdr:col>
      <xdr:colOff>515470</xdr:colOff>
      <xdr:row>53</xdr:row>
      <xdr:rowOff>67235</xdr:rowOff>
    </xdr:to>
    <xdr:cxnSp macro="">
      <xdr:nvCxnSpPr>
        <xdr:cNvPr id="11" name="10 Conector recto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CxnSpPr/>
      </xdr:nvCxnSpPr>
      <xdr:spPr>
        <a:xfrm>
          <a:off x="3195918" y="8438030"/>
          <a:ext cx="4949077" cy="1725705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526698</xdr:colOff>
      <xdr:row>31</xdr:row>
      <xdr:rowOff>168088</xdr:rowOff>
    </xdr:from>
    <xdr:to>
      <xdr:col>8</xdr:col>
      <xdr:colOff>515494</xdr:colOff>
      <xdr:row>52</xdr:row>
      <xdr:rowOff>134472</xdr:rowOff>
    </xdr:to>
    <xdr:cxnSp macro="">
      <xdr:nvCxnSpPr>
        <xdr:cNvPr id="12" name="11 Conector recto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CxnSpPr/>
      </xdr:nvCxnSpPr>
      <xdr:spPr>
        <a:xfrm rot="5400000" flipH="1" flipV="1">
          <a:off x="4352667" y="7010119"/>
          <a:ext cx="3966884" cy="2093821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773229</xdr:colOff>
      <xdr:row>31</xdr:row>
      <xdr:rowOff>168088</xdr:rowOff>
    </xdr:from>
    <xdr:to>
      <xdr:col>7</xdr:col>
      <xdr:colOff>683584</xdr:colOff>
      <xdr:row>52</xdr:row>
      <xdr:rowOff>134472</xdr:rowOff>
    </xdr:to>
    <xdr:cxnSp macro="">
      <xdr:nvCxnSpPr>
        <xdr:cNvPr id="13" name="12 Conector recto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CxnSpPr/>
      </xdr:nvCxnSpPr>
      <xdr:spPr>
        <a:xfrm rot="5400000" flipH="1" flipV="1">
          <a:off x="3759877" y="7011240"/>
          <a:ext cx="3966884" cy="2091580"/>
        </a:xfrm>
        <a:prstGeom prst="line">
          <a:avLst/>
        </a:prstGeom>
        <a:ln w="1905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0</xdr:row>
      <xdr:rowOff>0</xdr:rowOff>
    </xdr:from>
    <xdr:to>
      <xdr:col>26</xdr:col>
      <xdr:colOff>584640</xdr:colOff>
      <xdr:row>30</xdr:row>
      <xdr:rowOff>76200</xdr:rowOff>
    </xdr:to>
    <xdr:pic>
      <xdr:nvPicPr>
        <xdr:cNvPr id="14" name="Picture 1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49300" y="0"/>
          <a:ext cx="7442640" cy="5791200"/>
        </a:xfrm>
        <a:prstGeom prst="rect">
          <a:avLst/>
        </a:prstGeom>
        <a:noFill/>
        <a:ln w="19050">
          <a:solidFill>
            <a:schemeClr val="tx1"/>
          </a:solidFill>
        </a:ln>
      </xdr:spPr>
    </xdr:pic>
    <xdr:clientData/>
  </xdr:twoCellAnchor>
  <xdr:twoCellAnchor>
    <xdr:from>
      <xdr:col>22</xdr:col>
      <xdr:colOff>290808</xdr:colOff>
      <xdr:row>2</xdr:row>
      <xdr:rowOff>28575</xdr:rowOff>
    </xdr:from>
    <xdr:to>
      <xdr:col>26</xdr:col>
      <xdr:colOff>243183</xdr:colOff>
      <xdr:row>28</xdr:row>
      <xdr:rowOff>133350</xdr:rowOff>
    </xdr:to>
    <xdr:cxnSp macro="">
      <xdr:nvCxnSpPr>
        <xdr:cNvPr id="15" name="14 Conector recto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CxnSpPr/>
      </xdr:nvCxnSpPr>
      <xdr:spPr>
        <a:xfrm rot="5400000">
          <a:off x="16521408" y="1438275"/>
          <a:ext cx="5057775" cy="3000375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104792</xdr:colOff>
      <xdr:row>2</xdr:row>
      <xdr:rowOff>114299</xdr:rowOff>
    </xdr:from>
    <xdr:to>
      <xdr:col>23</xdr:col>
      <xdr:colOff>561992</xdr:colOff>
      <xdr:row>29</xdr:row>
      <xdr:rowOff>9524</xdr:rowOff>
    </xdr:to>
    <xdr:cxnSp macro="">
      <xdr:nvCxnSpPr>
        <xdr:cNvPr id="16" name="15 Conector recto de flecha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CxnSpPr/>
      </xdr:nvCxnSpPr>
      <xdr:spPr>
        <a:xfrm rot="16200000" flipH="1">
          <a:off x="14692329" y="1643062"/>
          <a:ext cx="5038725" cy="2743200"/>
        </a:xfrm>
        <a:prstGeom prst="straightConnector1">
          <a:avLst/>
        </a:prstGeom>
        <a:ln w="19050"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447675</xdr:colOff>
      <xdr:row>23</xdr:row>
      <xdr:rowOff>127185</xdr:rowOff>
    </xdr:from>
    <xdr:to>
      <xdr:col>25</xdr:col>
      <xdr:colOff>361950</xdr:colOff>
      <xdr:row>24</xdr:row>
      <xdr:rowOff>60510</xdr:rowOff>
    </xdr:to>
    <xdr:cxnSp macro="">
      <xdr:nvCxnSpPr>
        <xdr:cNvPr id="17" name="16 Conector recto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CxnSpPr/>
      </xdr:nvCxnSpPr>
      <xdr:spPr>
        <a:xfrm>
          <a:off x="13896975" y="4508685"/>
          <a:ext cx="6010275" cy="123825"/>
        </a:xfrm>
        <a:prstGeom prst="line">
          <a:avLst/>
        </a:prstGeom>
        <a:ln w="1905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179292</xdr:colOff>
      <xdr:row>13</xdr:row>
      <xdr:rowOff>145675</xdr:rowOff>
    </xdr:from>
    <xdr:to>
      <xdr:col>18</xdr:col>
      <xdr:colOff>605115</xdr:colOff>
      <xdr:row>37</xdr:row>
      <xdr:rowOff>33615</xdr:rowOff>
    </xdr:to>
    <xdr:grpSp>
      <xdr:nvGrpSpPr>
        <xdr:cNvPr id="2" name="1 Grup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pSpPr/>
      </xdr:nvGrpSpPr>
      <xdr:grpSpPr>
        <a:xfrm>
          <a:off x="7174452" y="2469775"/>
          <a:ext cx="5698863" cy="4170380"/>
          <a:chOff x="13691601" y="78442"/>
          <a:chExt cx="6558881" cy="4784912"/>
        </a:xfrm>
      </xdr:grpSpPr>
      <xdr:graphicFrame macro="">
        <xdr:nvGraphicFramePr>
          <xdr:cNvPr id="3" name="2 Gráfico">
            <a:extLst>
              <a:ext uri="{FF2B5EF4-FFF2-40B4-BE49-F238E27FC236}">
                <a16:creationId xmlns:a16="http://schemas.microsoft.com/office/drawing/2014/main" id="{00000000-0008-0000-0700-000003000000}"/>
              </a:ext>
            </a:extLst>
          </xdr:cNvPr>
          <xdr:cNvGraphicFramePr/>
        </xdr:nvGraphicFramePr>
        <xdr:xfrm>
          <a:off x="13691601" y="78442"/>
          <a:ext cx="6558881" cy="478491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3 CuadroTexto">
            <a:extLst>
              <a:ext uri="{FF2B5EF4-FFF2-40B4-BE49-F238E27FC236}">
                <a16:creationId xmlns:a16="http://schemas.microsoft.com/office/drawing/2014/main" id="{00000000-0008-0000-0700-000004000000}"/>
              </a:ext>
            </a:extLst>
          </xdr:cNvPr>
          <xdr:cNvSpPr txBox="1"/>
        </xdr:nvSpPr>
        <xdr:spPr>
          <a:xfrm>
            <a:off x="17503589" y="2543735"/>
            <a:ext cx="336176" cy="5266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en-US" sz="1100" b="1">
                <a:latin typeface="Arial Unicode MS" pitchFamily="34" charset="-128"/>
                <a:ea typeface="Arial Unicode MS" pitchFamily="34" charset="-128"/>
                <a:cs typeface="Arial Unicode MS" pitchFamily="34" charset="-128"/>
              </a:rPr>
              <a:t>L</a:t>
            </a:r>
          </a:p>
        </xdr:txBody>
      </xdr:sp>
      <xdr:sp macro="" textlink="">
        <xdr:nvSpPr>
          <xdr:cNvPr id="5" name="4 CuadroTexto">
            <a:extLst>
              <a:ext uri="{FF2B5EF4-FFF2-40B4-BE49-F238E27FC236}">
                <a16:creationId xmlns:a16="http://schemas.microsoft.com/office/drawing/2014/main" id="{00000000-0008-0000-0700-000005000000}"/>
              </a:ext>
            </a:extLst>
          </xdr:cNvPr>
          <xdr:cNvSpPr txBox="1"/>
        </xdr:nvSpPr>
        <xdr:spPr>
          <a:xfrm>
            <a:off x="18007855" y="1098176"/>
            <a:ext cx="1008527" cy="52667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en-US" sz="1100" b="1">
                <a:latin typeface="Arial Unicode MS" pitchFamily="34" charset="-128"/>
                <a:ea typeface="Arial Unicode MS" pitchFamily="34" charset="-128"/>
                <a:cs typeface="Arial Unicode MS" pitchFamily="34" charset="-128"/>
              </a:rPr>
              <a:t>MW + L</a:t>
            </a:r>
          </a:p>
        </xdr:txBody>
      </xdr:sp>
      <xdr:sp macro="" textlink="">
        <xdr:nvSpPr>
          <xdr:cNvPr id="6" name="5 CuadroTexto">
            <a:extLst>
              <a:ext uri="{FF2B5EF4-FFF2-40B4-BE49-F238E27FC236}">
                <a16:creationId xmlns:a16="http://schemas.microsoft.com/office/drawing/2014/main" id="{00000000-0008-0000-0700-000006000000}"/>
              </a:ext>
            </a:extLst>
          </xdr:cNvPr>
          <xdr:cNvSpPr txBox="1"/>
        </xdr:nvSpPr>
        <xdr:spPr>
          <a:xfrm>
            <a:off x="15318444" y="3048001"/>
            <a:ext cx="649940" cy="12438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pPr algn="ctr"/>
            <a:r>
              <a:rPr lang="en-US" sz="1000" b="1">
                <a:latin typeface="Arial Unicode MS" pitchFamily="34" charset="-128"/>
                <a:ea typeface="Arial Unicode MS" pitchFamily="34" charset="-128"/>
                <a:cs typeface="Arial Unicode MS" pitchFamily="34" charset="-128"/>
              </a:rPr>
              <a:t>C2S</a:t>
            </a:r>
          </a:p>
          <a:p>
            <a:pPr algn="ctr"/>
            <a:r>
              <a:rPr lang="en-US" sz="1000" b="1">
                <a:latin typeface="Arial Unicode MS" pitchFamily="34" charset="-128"/>
                <a:ea typeface="Arial Unicode MS" pitchFamily="34" charset="-128"/>
                <a:cs typeface="Arial Unicode MS" pitchFamily="34" charset="-128"/>
              </a:rPr>
              <a:t>+</a:t>
            </a:r>
          </a:p>
          <a:p>
            <a:pPr algn="ctr"/>
            <a:r>
              <a:rPr lang="en-US" sz="1000" b="1">
                <a:latin typeface="Arial Unicode MS" pitchFamily="34" charset="-128"/>
                <a:ea typeface="Arial Unicode MS" pitchFamily="34" charset="-128"/>
                <a:cs typeface="Arial Unicode MS" pitchFamily="34" charset="-128"/>
              </a:rPr>
              <a:t>L</a:t>
            </a:r>
          </a:p>
        </xdr:txBody>
      </xdr:sp>
      <xdr:sp macro="" textlink="">
        <xdr:nvSpPr>
          <xdr:cNvPr id="7" name="6 CuadroTexto">
            <a:extLst>
              <a:ext uri="{FF2B5EF4-FFF2-40B4-BE49-F238E27FC236}">
                <a16:creationId xmlns:a16="http://schemas.microsoft.com/office/drawing/2014/main" id="{00000000-0008-0000-0700-000007000000}"/>
              </a:ext>
            </a:extLst>
          </xdr:cNvPr>
          <xdr:cNvSpPr txBox="1"/>
        </xdr:nvSpPr>
        <xdr:spPr>
          <a:xfrm>
            <a:off x="14545234" y="1580342"/>
            <a:ext cx="605119" cy="1683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pPr algn="ctr"/>
            <a:r>
              <a:rPr lang="en-US" sz="1000" b="1">
                <a:latin typeface="Arial Unicode MS" pitchFamily="34" charset="-128"/>
                <a:ea typeface="Arial Unicode MS" pitchFamily="34" charset="-128"/>
                <a:cs typeface="Arial Unicode MS" pitchFamily="34" charset="-128"/>
              </a:rPr>
              <a:t>C2S </a:t>
            </a:r>
          </a:p>
          <a:p>
            <a:pPr algn="ctr"/>
            <a:r>
              <a:rPr lang="en-US" sz="1000" b="1">
                <a:latin typeface="Arial Unicode MS" pitchFamily="34" charset="-128"/>
                <a:ea typeface="Arial Unicode MS" pitchFamily="34" charset="-128"/>
                <a:cs typeface="Arial Unicode MS" pitchFamily="34" charset="-128"/>
              </a:rPr>
              <a:t>+</a:t>
            </a:r>
          </a:p>
          <a:p>
            <a:pPr algn="ctr"/>
            <a:r>
              <a:rPr lang="en-US" sz="1000" b="1">
                <a:latin typeface="Arial Unicode MS" pitchFamily="34" charset="-128"/>
                <a:ea typeface="Arial Unicode MS" pitchFamily="34" charset="-128"/>
                <a:cs typeface="Arial Unicode MS" pitchFamily="34" charset="-128"/>
              </a:rPr>
              <a:t>MW </a:t>
            </a:r>
          </a:p>
          <a:p>
            <a:pPr algn="ctr"/>
            <a:r>
              <a:rPr lang="en-US" sz="1000" b="1">
                <a:latin typeface="Arial Unicode MS" pitchFamily="34" charset="-128"/>
                <a:ea typeface="Arial Unicode MS" pitchFamily="34" charset="-128"/>
                <a:cs typeface="Arial Unicode MS" pitchFamily="34" charset="-128"/>
              </a:rPr>
              <a:t>+ </a:t>
            </a:r>
          </a:p>
          <a:p>
            <a:pPr algn="ctr"/>
            <a:r>
              <a:rPr lang="en-US" sz="1000" b="1">
                <a:latin typeface="Arial Unicode MS" pitchFamily="34" charset="-128"/>
                <a:ea typeface="Arial Unicode MS" pitchFamily="34" charset="-128"/>
                <a:cs typeface="Arial Unicode MS" pitchFamily="34" charset="-128"/>
              </a:rPr>
              <a:t>L</a:t>
            </a:r>
          </a:p>
        </xdr:txBody>
      </xdr:sp>
    </xdr:grpSp>
    <xdr:clientData/>
  </xdr:twoCellAnchor>
  <xdr:twoCellAnchor editAs="oneCell">
    <xdr:from>
      <xdr:col>7</xdr:col>
      <xdr:colOff>0</xdr:colOff>
      <xdr:row>81</xdr:row>
      <xdr:rowOff>14009</xdr:rowOff>
    </xdr:from>
    <xdr:to>
      <xdr:col>11</xdr:col>
      <xdr:colOff>244659</xdr:colOff>
      <xdr:row>92</xdr:row>
      <xdr:rowOff>135032</xdr:rowOff>
    </xdr:to>
    <xdr:pic>
      <xdr:nvPicPr>
        <xdr:cNvPr id="8" name="7 Imagen" descr="BOX1.jpg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953000" y="13587134"/>
          <a:ext cx="1997259" cy="1616448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81</xdr:row>
      <xdr:rowOff>11206</xdr:rowOff>
    </xdr:from>
    <xdr:to>
      <xdr:col>15</xdr:col>
      <xdr:colOff>335056</xdr:colOff>
      <xdr:row>92</xdr:row>
      <xdr:rowOff>135032</xdr:rowOff>
    </xdr:to>
    <xdr:pic>
      <xdr:nvPicPr>
        <xdr:cNvPr id="9" name="8 Imagen" descr="BOX2.jpg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629525" y="13584331"/>
          <a:ext cx="1973356" cy="1619251"/>
        </a:xfrm>
        <a:prstGeom prst="rect">
          <a:avLst/>
        </a:prstGeom>
      </xdr:spPr>
    </xdr:pic>
    <xdr:clientData/>
  </xdr:twoCellAnchor>
  <xdr:twoCellAnchor editAs="oneCell">
    <xdr:from>
      <xdr:col>6</xdr:col>
      <xdr:colOff>605117</xdr:colOff>
      <xdr:row>93</xdr:row>
      <xdr:rowOff>14007</xdr:rowOff>
    </xdr:from>
    <xdr:to>
      <xdr:col>11</xdr:col>
      <xdr:colOff>382120</xdr:colOff>
      <xdr:row>104</xdr:row>
      <xdr:rowOff>135030</xdr:rowOff>
    </xdr:to>
    <xdr:pic>
      <xdr:nvPicPr>
        <xdr:cNvPr id="10" name="9 Imagen" descr="BOX3.jpg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4948517" y="15530232"/>
          <a:ext cx="1986803" cy="1616448"/>
        </a:xfrm>
        <a:prstGeom prst="rect">
          <a:avLst/>
        </a:prstGeom>
      </xdr:spPr>
    </xdr:pic>
    <xdr:clientData/>
  </xdr:twoCellAnchor>
  <xdr:twoCellAnchor editAs="oneCell">
    <xdr:from>
      <xdr:col>12</xdr:col>
      <xdr:colOff>11205</xdr:colOff>
      <xdr:row>93</xdr:row>
      <xdr:rowOff>11205</xdr:rowOff>
    </xdr:from>
    <xdr:to>
      <xdr:col>15</xdr:col>
      <xdr:colOff>323851</xdr:colOff>
      <xdr:row>104</xdr:row>
      <xdr:rowOff>135030</xdr:rowOff>
    </xdr:to>
    <xdr:pic>
      <xdr:nvPicPr>
        <xdr:cNvPr id="11" name="10 Imagen" descr="BOX4.jpg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7640730" y="15527430"/>
          <a:ext cx="1950946" cy="1619250"/>
        </a:xfrm>
        <a:prstGeom prst="rect">
          <a:avLst/>
        </a:prstGeom>
      </xdr:spPr>
    </xdr:pic>
    <xdr:clientData/>
  </xdr:twoCellAnchor>
  <xdr:twoCellAnchor editAs="oneCell">
    <xdr:from>
      <xdr:col>15</xdr:col>
      <xdr:colOff>313765</xdr:colOff>
      <xdr:row>81</xdr:row>
      <xdr:rowOff>2</xdr:rowOff>
    </xdr:from>
    <xdr:to>
      <xdr:col>17</xdr:col>
      <xdr:colOff>680757</xdr:colOff>
      <xdr:row>92</xdr:row>
      <xdr:rowOff>135032</xdr:rowOff>
    </xdr:to>
    <xdr:pic>
      <xdr:nvPicPr>
        <xdr:cNvPr id="12" name="11 Imagen" descr="BOX5.jpg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9905440" y="13573127"/>
          <a:ext cx="1986242" cy="16304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9"/>
  <sheetViews>
    <sheetView zoomScaleNormal="100" workbookViewId="0">
      <selection activeCell="O5" sqref="O5"/>
    </sheetView>
  </sheetViews>
  <sheetFormatPr baseColWidth="10" defaultRowHeight="14.4"/>
  <cols>
    <col min="1" max="1" width="19.109375" bestFit="1" customWidth="1"/>
    <col min="2" max="2" width="5.6640625" bestFit="1" customWidth="1"/>
    <col min="3" max="3" width="7.5546875" bestFit="1" customWidth="1"/>
    <col min="4" max="4" width="7.33203125" customWidth="1"/>
    <col min="5" max="5" width="10.6640625" customWidth="1"/>
    <col min="6" max="6" width="9.88671875" bestFit="1" customWidth="1"/>
    <col min="7" max="7" width="7.6640625" bestFit="1" customWidth="1"/>
    <col min="8" max="8" width="13" customWidth="1"/>
    <col min="9" max="9" width="8.44140625" bestFit="1" customWidth="1"/>
    <col min="10" max="10" width="7.21875" customWidth="1"/>
    <col min="11" max="11" width="13.33203125" bestFit="1" customWidth="1"/>
    <col min="12" max="12" width="12.33203125" customWidth="1"/>
    <col min="13" max="13" width="10" bestFit="1" customWidth="1"/>
    <col min="14" max="14" width="7.44140625" customWidth="1"/>
    <col min="15" max="15" width="10" bestFit="1" customWidth="1"/>
    <col min="16" max="16" width="6.88671875" bestFit="1" customWidth="1"/>
    <col min="17" max="17" width="10" bestFit="1" customWidth="1"/>
    <col min="18" max="18" width="6.88671875" bestFit="1" customWidth="1"/>
    <col min="19" max="19" width="10" bestFit="1" customWidth="1"/>
    <col min="20" max="20" width="8.5546875" bestFit="1" customWidth="1"/>
    <col min="21" max="21" width="10" bestFit="1" customWidth="1"/>
    <col min="22" max="22" width="6.88671875" bestFit="1" customWidth="1"/>
    <col min="23" max="23" width="11.6640625" bestFit="1" customWidth="1"/>
    <col min="24" max="24" width="13.6640625" bestFit="1" customWidth="1"/>
    <col min="25" max="25" width="9.44140625" bestFit="1" customWidth="1"/>
    <col min="26" max="26" width="1.88671875" customWidth="1"/>
    <col min="27" max="27" width="5.33203125" bestFit="1" customWidth="1"/>
    <col min="28" max="28" width="10.44140625" bestFit="1" customWidth="1"/>
    <col min="29" max="29" width="8.109375" bestFit="1" customWidth="1"/>
    <col min="30" max="35" width="6.44140625" bestFit="1" customWidth="1"/>
    <col min="37" max="37" width="8.88671875" bestFit="1" customWidth="1"/>
    <col min="38" max="38" width="12.33203125" bestFit="1" customWidth="1"/>
    <col min="39" max="41" width="5.6640625" bestFit="1" customWidth="1"/>
    <col min="42" max="42" width="9" bestFit="1" customWidth="1"/>
  </cols>
  <sheetData>
    <row r="1" spans="1:42" ht="15.6">
      <c r="A1" s="161" t="s">
        <v>0</v>
      </c>
      <c r="B1" s="161" t="s">
        <v>3</v>
      </c>
      <c r="C1" s="161" t="s">
        <v>21</v>
      </c>
      <c r="D1" s="161" t="s">
        <v>214</v>
      </c>
      <c r="E1" s="161" t="s">
        <v>4</v>
      </c>
      <c r="F1" s="161" t="s">
        <v>84</v>
      </c>
      <c r="G1" s="161" t="s">
        <v>184</v>
      </c>
      <c r="H1" s="161" t="s">
        <v>249</v>
      </c>
      <c r="I1" s="161" t="s">
        <v>250</v>
      </c>
      <c r="J1" s="193" t="s">
        <v>86</v>
      </c>
      <c r="K1" s="161" t="s">
        <v>188</v>
      </c>
      <c r="L1" s="161" t="s">
        <v>189</v>
      </c>
      <c r="M1" s="161" t="s">
        <v>190</v>
      </c>
      <c r="N1" s="162" t="s">
        <v>191</v>
      </c>
      <c r="O1" s="161" t="s">
        <v>192</v>
      </c>
      <c r="P1" s="162" t="s">
        <v>193</v>
      </c>
      <c r="Q1" s="161" t="s">
        <v>195</v>
      </c>
      <c r="R1" s="162" t="s">
        <v>196</v>
      </c>
      <c r="S1" s="161" t="s">
        <v>197</v>
      </c>
      <c r="T1" s="162" t="s">
        <v>198</v>
      </c>
      <c r="U1" s="161" t="s">
        <v>243</v>
      </c>
      <c r="V1" s="162" t="s">
        <v>244</v>
      </c>
      <c r="W1" s="220" t="s">
        <v>203</v>
      </c>
      <c r="X1" s="222" t="s">
        <v>293</v>
      </c>
      <c r="Y1" s="223">
        <v>21000</v>
      </c>
      <c r="AA1" s="105" t="s">
        <v>139</v>
      </c>
      <c r="AB1" s="105" t="s">
        <v>74</v>
      </c>
      <c r="AC1" s="105" t="s">
        <v>136</v>
      </c>
      <c r="AD1" s="105" t="s">
        <v>226</v>
      </c>
      <c r="AE1" s="105" t="s">
        <v>227</v>
      </c>
      <c r="AF1" s="105" t="s">
        <v>100</v>
      </c>
      <c r="AG1" s="105" t="s">
        <v>228</v>
      </c>
      <c r="AH1" s="105" t="s">
        <v>229</v>
      </c>
      <c r="AI1" s="105" t="s">
        <v>230</v>
      </c>
      <c r="AL1" s="105" t="s">
        <v>139</v>
      </c>
      <c r="AM1" s="105" t="s">
        <v>74</v>
      </c>
      <c r="AN1" s="105" t="s">
        <v>136</v>
      </c>
      <c r="AP1" s="105" t="s">
        <v>138</v>
      </c>
    </row>
    <row r="2" spans="1:42" ht="15.6">
      <c r="A2" s="163" t="s">
        <v>10</v>
      </c>
      <c r="B2" s="164">
        <f>+$B$10*J2</f>
        <v>5.95</v>
      </c>
      <c r="C2" s="165">
        <f>+B2*(1-F2)</f>
        <v>4.9980000000000002</v>
      </c>
      <c r="D2" s="165">
        <f t="shared" ref="D2:D9" si="0">+B2-C2</f>
        <v>0.95199999999999996</v>
      </c>
      <c r="E2" s="97">
        <v>0.84</v>
      </c>
      <c r="F2" s="97">
        <f>1-E2</f>
        <v>0.16000000000000003</v>
      </c>
      <c r="G2" s="166">
        <v>170</v>
      </c>
      <c r="H2" s="189">
        <v>470</v>
      </c>
      <c r="I2" s="189">
        <f>+H2*J2</f>
        <v>79.900000000000006</v>
      </c>
      <c r="J2" s="194">
        <v>0.17</v>
      </c>
      <c r="K2" s="166">
        <v>0.32</v>
      </c>
      <c r="L2" s="168">
        <f>+B2/K2</f>
        <v>18.59375</v>
      </c>
      <c r="M2" s="165">
        <v>6.2</v>
      </c>
      <c r="N2" s="169">
        <f t="shared" ref="N2:N9" si="1">+M2*K2</f>
        <v>1.9840000000000002</v>
      </c>
      <c r="O2" s="165">
        <v>6.2</v>
      </c>
      <c r="P2" s="169">
        <f t="shared" ref="P2:P9" si="2">+O2*K2</f>
        <v>1.9840000000000002</v>
      </c>
      <c r="Q2" s="165">
        <f>+L2-M2-O2</f>
        <v>6.1937500000000005</v>
      </c>
      <c r="R2" s="169">
        <f>+Q2*K2</f>
        <v>1.9820000000000002</v>
      </c>
      <c r="S2" s="165">
        <f t="shared" ref="S2:S3" si="3">+L2-M2-O2-Q2</f>
        <v>0</v>
      </c>
      <c r="T2" s="169">
        <f>+K2*S2</f>
        <v>0</v>
      </c>
      <c r="U2" s="165"/>
      <c r="V2" s="169">
        <f>+K2*U2</f>
        <v>0</v>
      </c>
      <c r="W2" s="221">
        <f>+B2*$Y$2</f>
        <v>4036.4998432425532</v>
      </c>
      <c r="X2" s="224" t="s">
        <v>292</v>
      </c>
      <c r="Y2" s="225">
        <f>+Y1/F17</f>
        <v>678.40333499874839</v>
      </c>
      <c r="AA2" s="10">
        <v>0.25</v>
      </c>
      <c r="AB2" s="10">
        <v>0.6</v>
      </c>
      <c r="AC2" s="17">
        <v>0.2</v>
      </c>
      <c r="AD2" s="17">
        <v>0.03</v>
      </c>
      <c r="AE2" s="17">
        <v>0.19</v>
      </c>
      <c r="AF2" s="17">
        <v>0.04</v>
      </c>
      <c r="AG2" s="17">
        <v>0.33</v>
      </c>
      <c r="AH2" s="17">
        <v>0.19</v>
      </c>
      <c r="AI2" s="17">
        <v>0.04</v>
      </c>
      <c r="AK2" t="s">
        <v>253</v>
      </c>
      <c r="AL2" s="10">
        <f>+SUMPRODUCT(N2:N9,$AA$2:$AA$9)*10</f>
        <v>34.762499999999996</v>
      </c>
      <c r="AM2" s="10">
        <f>+SUMPRODUCT(N2:N9,$AB$2:$AB$9)*10</f>
        <v>76.03</v>
      </c>
      <c r="AN2" s="10">
        <f>+SUMPRODUCT(N2:N9,$AC$2:$AC$9)*10</f>
        <v>22.173999999999999</v>
      </c>
      <c r="AP2" s="12">
        <f>+(AP14-AO14)*55/16</f>
        <v>45.580107392607381</v>
      </c>
    </row>
    <row r="3" spans="1:42" ht="15.6">
      <c r="A3" s="171" t="s">
        <v>296</v>
      </c>
      <c r="B3" s="164">
        <f t="shared" ref="B3:B9" si="4">+$B$10*J3</f>
        <v>3.0449999999999999</v>
      </c>
      <c r="C3" s="165">
        <f t="shared" ref="C3:C9" si="5">+B3*(1-F3)</f>
        <v>2.9536499999999997</v>
      </c>
      <c r="D3" s="165">
        <f t="shared" si="0"/>
        <v>9.1350000000000264E-2</v>
      </c>
      <c r="E3" s="97">
        <v>0.97</v>
      </c>
      <c r="F3" s="97">
        <f>1-E3</f>
        <v>3.0000000000000027E-2</v>
      </c>
      <c r="G3" s="166">
        <v>220</v>
      </c>
      <c r="H3" s="189">
        <v>470</v>
      </c>
      <c r="I3" s="189">
        <f t="shared" ref="I3:I9" si="6">+H3*J3</f>
        <v>40.89</v>
      </c>
      <c r="J3" s="194">
        <v>8.6999999999999994E-2</v>
      </c>
      <c r="K3" s="166">
        <v>0.9</v>
      </c>
      <c r="L3" s="168">
        <f t="shared" ref="L3:L9" si="7">+B3/K3</f>
        <v>3.3833333333333333</v>
      </c>
      <c r="M3" s="165">
        <f>+L3</f>
        <v>3.3833333333333333</v>
      </c>
      <c r="N3" s="169">
        <f t="shared" si="1"/>
        <v>3.0449999999999999</v>
      </c>
      <c r="O3" s="165"/>
      <c r="P3" s="169">
        <f t="shared" si="2"/>
        <v>0</v>
      </c>
      <c r="Q3" s="165"/>
      <c r="R3" s="169">
        <f t="shared" ref="R3:R9" si="8">+Q3*K3</f>
        <v>0</v>
      </c>
      <c r="S3" s="165">
        <f t="shared" si="3"/>
        <v>0</v>
      </c>
      <c r="T3" s="169">
        <f t="shared" ref="T3:T9" si="9">+K3*S3</f>
        <v>0</v>
      </c>
      <c r="U3" s="165"/>
      <c r="V3" s="169">
        <f t="shared" ref="V3:V9" si="10">+K3*U3</f>
        <v>0</v>
      </c>
      <c r="W3" s="221">
        <f t="shared" ref="W3:W10" si="11">+B3*$Y$2</f>
        <v>2065.7381550711889</v>
      </c>
      <c r="X3" s="226" t="s">
        <v>54</v>
      </c>
      <c r="Y3" s="227">
        <f>+F17</f>
        <v>30.955036504999999</v>
      </c>
      <c r="AA3" s="10">
        <v>0.25</v>
      </c>
      <c r="AB3" s="10">
        <v>0.6</v>
      </c>
      <c r="AC3" s="17">
        <v>0.2</v>
      </c>
      <c r="AD3" s="17">
        <v>0.03</v>
      </c>
      <c r="AE3" s="17">
        <v>0.19</v>
      </c>
      <c r="AF3" s="17">
        <v>0.04</v>
      </c>
      <c r="AG3" s="17">
        <v>0.33</v>
      </c>
      <c r="AH3" s="17">
        <v>0.19</v>
      </c>
      <c r="AI3" s="17">
        <v>0.04</v>
      </c>
      <c r="AL3" s="10"/>
      <c r="AM3" s="10"/>
      <c r="AN3" s="10"/>
      <c r="AP3" s="12"/>
    </row>
    <row r="4" spans="1:42">
      <c r="A4" s="172" t="s">
        <v>276</v>
      </c>
      <c r="B4" s="164">
        <f>+$B$10*J4</f>
        <v>14.945</v>
      </c>
      <c r="C4" s="165">
        <f t="shared" si="5"/>
        <v>13.1516</v>
      </c>
      <c r="D4" s="165">
        <f t="shared" si="0"/>
        <v>1.7934000000000001</v>
      </c>
      <c r="E4" s="97">
        <v>0.88</v>
      </c>
      <c r="F4" s="97">
        <f t="shared" ref="F4:F9" si="12">1-E4</f>
        <v>0.12</v>
      </c>
      <c r="G4" s="166">
        <v>180</v>
      </c>
      <c r="H4" s="189">
        <v>460</v>
      </c>
      <c r="I4" s="189">
        <f t="shared" si="6"/>
        <v>196.42</v>
      </c>
      <c r="J4" s="194">
        <v>0.42699999999999999</v>
      </c>
      <c r="K4" s="166">
        <v>0.43</v>
      </c>
      <c r="L4" s="168">
        <f t="shared" si="7"/>
        <v>34.755813953488371</v>
      </c>
      <c r="M4" s="165">
        <v>9.1999999999999993</v>
      </c>
      <c r="N4" s="169">
        <f t="shared" si="1"/>
        <v>3.9559999999999995</v>
      </c>
      <c r="O4" s="165">
        <v>14</v>
      </c>
      <c r="P4" s="169">
        <f t="shared" si="2"/>
        <v>6.02</v>
      </c>
      <c r="Q4" s="165">
        <f>+L4-M4-O4</f>
        <v>11.555813953488371</v>
      </c>
      <c r="R4" s="169">
        <f t="shared" si="8"/>
        <v>4.9689999999999994</v>
      </c>
      <c r="S4" s="165">
        <f>+L4-M4-O4-Q4</f>
        <v>0</v>
      </c>
      <c r="T4" s="169">
        <f t="shared" si="9"/>
        <v>0</v>
      </c>
      <c r="U4" s="165"/>
      <c r="V4" s="169">
        <f t="shared" si="10"/>
        <v>0</v>
      </c>
      <c r="W4" s="170">
        <f t="shared" si="11"/>
        <v>10138.737841556294</v>
      </c>
      <c r="AA4" s="10">
        <v>0.25</v>
      </c>
      <c r="AB4" s="10">
        <v>0.6</v>
      </c>
      <c r="AC4" s="17">
        <v>0.2</v>
      </c>
      <c r="AD4" s="17">
        <v>0.03</v>
      </c>
      <c r="AE4" s="17">
        <v>0.19</v>
      </c>
      <c r="AF4" s="17">
        <v>0.04</v>
      </c>
      <c r="AG4" s="17">
        <v>0.33</v>
      </c>
      <c r="AH4" s="17">
        <v>0.19</v>
      </c>
      <c r="AI4" s="17">
        <v>0.04</v>
      </c>
      <c r="AK4" t="s">
        <v>254</v>
      </c>
      <c r="AL4" s="10">
        <f>+SUMPRODUCT(P2:P9,$AA$2:$AA$9)*10</f>
        <v>29.064</v>
      </c>
      <c r="AM4" s="10">
        <f>+SUMPRODUCT(P2:P9,$AB$2:$AB$9)*10</f>
        <v>68.144000000000005</v>
      </c>
      <c r="AN4" s="10">
        <f>+SUMPRODUCT(P2:P9,$AC$2:$AC$9)*10</f>
        <v>21.038</v>
      </c>
      <c r="AP4" s="12">
        <f>+(AP15-AO15)*55/16</f>
        <v>139.66965534465541</v>
      </c>
    </row>
    <row r="5" spans="1:42">
      <c r="A5" s="173" t="s">
        <v>278</v>
      </c>
      <c r="B5" s="164">
        <f t="shared" si="4"/>
        <v>0</v>
      </c>
      <c r="C5" s="165">
        <f t="shared" si="5"/>
        <v>0</v>
      </c>
      <c r="D5" s="165">
        <f t="shared" si="0"/>
        <v>0</v>
      </c>
      <c r="E5" s="97">
        <v>0.98</v>
      </c>
      <c r="F5" s="97">
        <f t="shared" si="12"/>
        <v>2.0000000000000018E-2</v>
      </c>
      <c r="G5" s="166">
        <v>217</v>
      </c>
      <c r="H5" s="189">
        <v>450</v>
      </c>
      <c r="I5" s="189">
        <f t="shared" si="6"/>
        <v>0</v>
      </c>
      <c r="J5" s="194"/>
      <c r="K5" s="166">
        <v>0.7</v>
      </c>
      <c r="L5" s="168">
        <f t="shared" si="7"/>
        <v>0</v>
      </c>
      <c r="M5" s="165"/>
      <c r="N5" s="169">
        <f t="shared" si="1"/>
        <v>0</v>
      </c>
      <c r="O5" s="165"/>
      <c r="P5" s="169">
        <f t="shared" si="2"/>
        <v>0</v>
      </c>
      <c r="Q5" s="165"/>
      <c r="R5" s="169">
        <f t="shared" si="8"/>
        <v>0</v>
      </c>
      <c r="S5" s="165"/>
      <c r="T5" s="169">
        <f t="shared" si="9"/>
        <v>0</v>
      </c>
      <c r="U5" s="165"/>
      <c r="V5" s="169">
        <f t="shared" si="10"/>
        <v>0</v>
      </c>
      <c r="W5" s="170">
        <f t="shared" si="11"/>
        <v>0</v>
      </c>
      <c r="X5">
        <f>+Y2/31</f>
        <v>21.883978548346722</v>
      </c>
      <c r="AA5" s="10">
        <v>0.28000000000000003</v>
      </c>
      <c r="AB5" s="10">
        <v>1.4</v>
      </c>
      <c r="AC5" s="17">
        <v>0.18</v>
      </c>
      <c r="AD5" s="17">
        <v>0.02</v>
      </c>
      <c r="AE5" s="17">
        <v>0.35</v>
      </c>
      <c r="AF5" s="17">
        <v>1E-3</v>
      </c>
      <c r="AG5" s="17">
        <v>0.03</v>
      </c>
      <c r="AH5" s="17">
        <v>0.09</v>
      </c>
      <c r="AI5" s="17">
        <v>0.3</v>
      </c>
      <c r="AK5" t="s">
        <v>255</v>
      </c>
      <c r="AL5" s="10">
        <f>+SUMPRODUCT(R2:R9,$AA$2:$AA$9)*10</f>
        <v>17.377499999999998</v>
      </c>
      <c r="AM5" s="10">
        <f>+SUMPRODUCT(R2:R9,$AB$2:$AB$9)*10</f>
        <v>41.705999999999996</v>
      </c>
      <c r="AN5" s="10">
        <f>+SUMPRODUCT(R2:R9,$AC$2:$AC$9)*10</f>
        <v>13.902000000000001</v>
      </c>
      <c r="AP5" s="12">
        <f>+(AP16-AO16)*55/16</f>
        <v>33.54169580419579</v>
      </c>
    </row>
    <row r="6" spans="1:42">
      <c r="A6" s="174" t="s">
        <v>224</v>
      </c>
      <c r="B6" s="164">
        <f t="shared" si="4"/>
        <v>0</v>
      </c>
      <c r="C6" s="165">
        <f t="shared" si="5"/>
        <v>0</v>
      </c>
      <c r="D6" s="165">
        <f t="shared" si="0"/>
        <v>0</v>
      </c>
      <c r="E6" s="97">
        <v>0.85</v>
      </c>
      <c r="F6" s="97">
        <f t="shared" si="12"/>
        <v>0.15000000000000002</v>
      </c>
      <c r="G6" s="166">
        <v>56</v>
      </c>
      <c r="H6" s="189">
        <v>510</v>
      </c>
      <c r="I6" s="189">
        <f t="shared" si="6"/>
        <v>0</v>
      </c>
      <c r="J6" s="194"/>
      <c r="K6" s="166">
        <v>1</v>
      </c>
      <c r="L6" s="168">
        <f t="shared" si="7"/>
        <v>0</v>
      </c>
      <c r="M6" s="165"/>
      <c r="N6" s="169">
        <f t="shared" si="1"/>
        <v>0</v>
      </c>
      <c r="O6" s="165"/>
      <c r="P6" s="169">
        <f t="shared" si="2"/>
        <v>0</v>
      </c>
      <c r="Q6" s="165"/>
      <c r="R6" s="169">
        <f t="shared" si="8"/>
        <v>0</v>
      </c>
      <c r="S6" s="165"/>
      <c r="T6" s="169">
        <f t="shared" si="9"/>
        <v>0</v>
      </c>
      <c r="U6" s="165"/>
      <c r="V6" s="169">
        <f t="shared" si="10"/>
        <v>0</v>
      </c>
      <c r="W6" s="170">
        <f t="shared" si="11"/>
        <v>0</v>
      </c>
      <c r="AA6" s="147">
        <v>0.2</v>
      </c>
      <c r="AB6" s="147">
        <v>0.7</v>
      </c>
      <c r="AC6" s="148">
        <v>0.15</v>
      </c>
      <c r="AD6" s="148">
        <v>0.02</v>
      </c>
      <c r="AE6" s="148">
        <v>0.06</v>
      </c>
      <c r="AF6" s="148">
        <v>0.04</v>
      </c>
      <c r="AG6" s="148">
        <v>0.15</v>
      </c>
      <c r="AH6" s="148">
        <v>0.11</v>
      </c>
      <c r="AI6" s="148">
        <v>5.0000000000000001E-3</v>
      </c>
      <c r="AK6" t="s">
        <v>256</v>
      </c>
      <c r="AL6" s="10">
        <f>+SUMPRODUCT(T2:T9,$AA$2:$AA$9)*10</f>
        <v>0</v>
      </c>
      <c r="AM6" s="10">
        <f>+SUMPRODUCT(T2:T9,$AB$2:$AB$9)*10</f>
        <v>0</v>
      </c>
      <c r="AN6" s="10">
        <f>+SUMPRODUCT(T2:T9,$AC$2:$AC$9)*10</f>
        <v>0</v>
      </c>
      <c r="AP6" s="12">
        <f>+(AP17-AO17)*55/16</f>
        <v>68.75</v>
      </c>
    </row>
    <row r="7" spans="1:42">
      <c r="A7" s="175" t="s">
        <v>81</v>
      </c>
      <c r="B7" s="164">
        <f>+$B$10*J7</f>
        <v>9.0300000000000011</v>
      </c>
      <c r="C7" s="165">
        <f>+B7*(1-F7)</f>
        <v>8.6688000000000009</v>
      </c>
      <c r="D7" s="165">
        <f t="shared" si="0"/>
        <v>0.36120000000000019</v>
      </c>
      <c r="E7" s="97">
        <v>0.96</v>
      </c>
      <c r="F7" s="97">
        <f t="shared" si="12"/>
        <v>4.0000000000000036E-2</v>
      </c>
      <c r="G7" s="166">
        <v>295</v>
      </c>
      <c r="H7" s="189">
        <v>430</v>
      </c>
      <c r="I7" s="189">
        <f t="shared" si="6"/>
        <v>110.94</v>
      </c>
      <c r="J7" s="194">
        <v>0.25800000000000001</v>
      </c>
      <c r="K7" s="166">
        <v>1</v>
      </c>
      <c r="L7" s="168">
        <f t="shared" si="7"/>
        <v>9.0300000000000011</v>
      </c>
      <c r="M7" s="165">
        <v>4</v>
      </c>
      <c r="N7" s="169">
        <f t="shared" si="1"/>
        <v>4</v>
      </c>
      <c r="O7" s="165">
        <f>+L7-M7</f>
        <v>5.0300000000000011</v>
      </c>
      <c r="P7" s="169">
        <f t="shared" si="2"/>
        <v>5.0300000000000011</v>
      </c>
      <c r="Q7" s="165"/>
      <c r="R7" s="169">
        <f t="shared" si="8"/>
        <v>0</v>
      </c>
      <c r="S7" s="165"/>
      <c r="T7" s="169">
        <f t="shared" si="9"/>
        <v>0</v>
      </c>
      <c r="U7" s="165"/>
      <c r="V7" s="169">
        <f t="shared" si="10"/>
        <v>0</v>
      </c>
      <c r="W7" s="170">
        <f t="shared" si="11"/>
        <v>6125.9821150386988</v>
      </c>
      <c r="AA7" s="10">
        <v>0.18</v>
      </c>
      <c r="AB7" s="10">
        <v>0.4</v>
      </c>
      <c r="AC7" s="17">
        <v>0.1</v>
      </c>
      <c r="AD7" s="17">
        <v>0.02</v>
      </c>
      <c r="AE7" s="17">
        <v>0.05</v>
      </c>
      <c r="AF7" s="17">
        <v>0.02</v>
      </c>
      <c r="AG7" s="17">
        <v>0.15</v>
      </c>
      <c r="AH7" s="17">
        <v>0.04</v>
      </c>
      <c r="AI7" s="17">
        <v>0.01</v>
      </c>
      <c r="AP7" s="12">
        <f>SUM(AP2:AP6)</f>
        <v>287.54145854145861</v>
      </c>
    </row>
    <row r="8" spans="1:42">
      <c r="A8" s="176" t="s">
        <v>279</v>
      </c>
      <c r="B8" s="164">
        <f t="shared" si="4"/>
        <v>0</v>
      </c>
      <c r="C8" s="165">
        <f t="shared" si="5"/>
        <v>0</v>
      </c>
      <c r="D8" s="165">
        <f t="shared" si="0"/>
        <v>0</v>
      </c>
      <c r="E8" s="97">
        <v>0.94</v>
      </c>
      <c r="F8" s="97">
        <f t="shared" si="12"/>
        <v>6.0000000000000053E-2</v>
      </c>
      <c r="G8" s="166">
        <v>240</v>
      </c>
      <c r="H8" s="189">
        <v>400</v>
      </c>
      <c r="I8" s="189">
        <f t="shared" si="6"/>
        <v>0</v>
      </c>
      <c r="J8" s="194"/>
      <c r="K8" s="166">
        <v>3.5</v>
      </c>
      <c r="L8" s="168">
        <f t="shared" si="7"/>
        <v>0</v>
      </c>
      <c r="M8" s="165"/>
      <c r="N8" s="169">
        <f t="shared" si="1"/>
        <v>0</v>
      </c>
      <c r="O8" s="165"/>
      <c r="P8" s="169">
        <f t="shared" si="2"/>
        <v>0</v>
      </c>
      <c r="Q8" s="165"/>
      <c r="R8" s="169">
        <f>+Q8*K8</f>
        <v>0</v>
      </c>
      <c r="S8" s="165"/>
      <c r="T8" s="169">
        <f t="shared" si="9"/>
        <v>0</v>
      </c>
      <c r="U8" s="165"/>
      <c r="V8" s="169">
        <f t="shared" si="10"/>
        <v>0</v>
      </c>
      <c r="W8" s="170">
        <f t="shared" si="11"/>
        <v>0</v>
      </c>
      <c r="AA8" s="10">
        <v>3.8</v>
      </c>
      <c r="AB8" s="10">
        <v>0.9</v>
      </c>
      <c r="AC8" s="17">
        <v>0.27</v>
      </c>
      <c r="AD8" s="17">
        <v>0.05</v>
      </c>
      <c r="AE8" s="17">
        <v>0</v>
      </c>
      <c r="AF8" s="17">
        <v>2.5000000000000001E-2</v>
      </c>
      <c r="AG8" s="17">
        <v>0</v>
      </c>
      <c r="AH8" s="17">
        <v>0</v>
      </c>
      <c r="AI8" s="17">
        <v>0</v>
      </c>
    </row>
    <row r="9" spans="1:42">
      <c r="A9" s="172" t="s">
        <v>83</v>
      </c>
      <c r="B9" s="164">
        <f t="shared" si="4"/>
        <v>2.0300000000000002</v>
      </c>
      <c r="C9" s="165">
        <f t="shared" si="5"/>
        <v>1.9488000000000001</v>
      </c>
      <c r="D9" s="165">
        <f t="shared" si="0"/>
        <v>8.1200000000000161E-2</v>
      </c>
      <c r="E9" s="97">
        <v>0.96</v>
      </c>
      <c r="F9" s="97">
        <f t="shared" si="12"/>
        <v>4.0000000000000036E-2</v>
      </c>
      <c r="G9" s="166">
        <v>205</v>
      </c>
      <c r="H9" s="189">
        <v>470</v>
      </c>
      <c r="I9" s="189">
        <f t="shared" si="6"/>
        <v>27.26</v>
      </c>
      <c r="J9" s="194">
        <v>5.8000000000000003E-2</v>
      </c>
      <c r="K9" s="166">
        <v>0.6</v>
      </c>
      <c r="L9" s="168">
        <f t="shared" si="7"/>
        <v>3.3833333333333337</v>
      </c>
      <c r="M9" s="165">
        <v>3.4</v>
      </c>
      <c r="N9" s="169">
        <f t="shared" si="1"/>
        <v>2.04</v>
      </c>
      <c r="O9" s="165"/>
      <c r="P9" s="169">
        <f t="shared" si="2"/>
        <v>0</v>
      </c>
      <c r="Q9" s="165"/>
      <c r="R9" s="169">
        <f t="shared" si="8"/>
        <v>0</v>
      </c>
      <c r="S9" s="165"/>
      <c r="T9" s="169">
        <f t="shared" si="9"/>
        <v>0</v>
      </c>
      <c r="U9" s="165"/>
      <c r="V9" s="169">
        <f t="shared" si="10"/>
        <v>0</v>
      </c>
      <c r="W9" s="170">
        <f t="shared" si="11"/>
        <v>1377.1587700474595</v>
      </c>
      <c r="AA9" s="10">
        <v>0.25</v>
      </c>
      <c r="AB9" s="10">
        <v>0.3</v>
      </c>
      <c r="AC9" s="17">
        <v>0.01</v>
      </c>
      <c r="AD9" s="17">
        <v>0.03</v>
      </c>
      <c r="AE9" s="17">
        <v>0.18</v>
      </c>
      <c r="AF9" s="17">
        <v>7.0000000000000007E-2</v>
      </c>
      <c r="AG9" s="17">
        <v>0.35</v>
      </c>
      <c r="AH9" s="17">
        <v>0.2</v>
      </c>
      <c r="AI9" s="17">
        <v>0.04</v>
      </c>
      <c r="AK9" t="s">
        <v>257</v>
      </c>
      <c r="AL9" s="3">
        <f>+AL2/12*16</f>
        <v>46.349999999999994</v>
      </c>
      <c r="AM9" s="3">
        <f>+AM2/55*16</f>
        <v>22.117818181818183</v>
      </c>
      <c r="AN9" s="3">
        <f>+AN2/28*16</f>
        <v>12.670857142857143</v>
      </c>
    </row>
    <row r="10" spans="1:42" ht="17.399999999999999">
      <c r="A10" s="60"/>
      <c r="B10" s="177">
        <v>35</v>
      </c>
      <c r="C10" s="60"/>
      <c r="D10" s="60"/>
      <c r="E10" s="60"/>
      <c r="F10" s="60"/>
      <c r="G10" s="60"/>
      <c r="H10" s="189"/>
      <c r="I10" s="219">
        <f>SUM(I2:I9)</f>
        <v>455.40999999999997</v>
      </c>
      <c r="J10" s="178">
        <f>SUM(J2:J9)</f>
        <v>1</v>
      </c>
      <c r="K10" s="179">
        <f>SUMPRODUCT(K2:K9,J2:J9)</f>
        <v>0.60911000000000004</v>
      </c>
      <c r="L10" s="180">
        <f>SUM(L2:L9)</f>
        <v>69.146230620155038</v>
      </c>
      <c r="M10" s="181">
        <f t="shared" ref="M10:V10" si="13">SUM(M2:M9)</f>
        <v>26.18333333333333</v>
      </c>
      <c r="N10" s="182">
        <f t="shared" si="13"/>
        <v>15.024999999999999</v>
      </c>
      <c r="O10" s="181">
        <f t="shared" si="13"/>
        <v>25.23</v>
      </c>
      <c r="P10" s="182">
        <f t="shared" si="13"/>
        <v>13.034000000000001</v>
      </c>
      <c r="Q10" s="181">
        <f t="shared" si="13"/>
        <v>17.749563953488373</v>
      </c>
      <c r="R10" s="182">
        <f t="shared" si="13"/>
        <v>6.9509999999999996</v>
      </c>
      <c r="S10" s="181">
        <f t="shared" si="13"/>
        <v>0</v>
      </c>
      <c r="T10" s="182">
        <f t="shared" si="13"/>
        <v>0</v>
      </c>
      <c r="U10" s="181">
        <f t="shared" si="13"/>
        <v>0</v>
      </c>
      <c r="V10" s="182">
        <f t="shared" si="13"/>
        <v>0</v>
      </c>
      <c r="W10" s="183">
        <f>+B10*$Y$2</f>
        <v>23744.116724956195</v>
      </c>
      <c r="X10" s="101">
        <f>+N10+P10+R10+T10</f>
        <v>35.01</v>
      </c>
      <c r="Y10" s="101"/>
      <c r="AA10" s="10"/>
      <c r="AB10" s="10"/>
      <c r="AC10" s="1"/>
      <c r="AD10" s="1"/>
      <c r="AE10" s="1"/>
      <c r="AF10" s="1"/>
      <c r="AG10" s="1"/>
      <c r="AH10" s="1"/>
      <c r="AI10" s="1"/>
      <c r="AK10" t="s">
        <v>258</v>
      </c>
      <c r="AL10" s="3">
        <f>+AL4/12*16</f>
        <v>38.752000000000002</v>
      </c>
      <c r="AM10" s="3">
        <f>+AM4/55*16</f>
        <v>19.823709090909091</v>
      </c>
      <c r="AN10" s="3">
        <f>+AN4/28*16</f>
        <v>12.021714285714285</v>
      </c>
    </row>
    <row r="11" spans="1:42">
      <c r="A11" s="32" t="s">
        <v>2</v>
      </c>
      <c r="B11" s="38">
        <f>SUM(B2:B9)</f>
        <v>35</v>
      </c>
      <c r="C11" s="36">
        <f>SUM(C2:C9)</f>
        <v>31.720849999999999</v>
      </c>
      <c r="D11" s="36">
        <f>+D2*0.5+D4*0.5+D7*0.9+D9*0.9</f>
        <v>1.7708600000000003</v>
      </c>
      <c r="E11" s="36"/>
      <c r="F11" s="43" t="s">
        <v>57</v>
      </c>
      <c r="G11" s="228">
        <f>+SUMPRODUCT(B2:B9,G2:G9)/C11/E15</f>
        <v>238.48587346459317</v>
      </c>
      <c r="H11" s="44">
        <f>+G11</f>
        <v>238.48587346459317</v>
      </c>
      <c r="I11" s="190">
        <f>370/I10</f>
        <v>0.81245471113941292</v>
      </c>
      <c r="J11" s="35"/>
      <c r="L11" s="113" t="s">
        <v>235</v>
      </c>
      <c r="M11" s="104">
        <f>+B18*0.95</f>
        <v>26.599999999999998</v>
      </c>
      <c r="O11" s="104">
        <f>+M11</f>
        <v>26.599999999999998</v>
      </c>
      <c r="Q11" s="104">
        <f>+O11</f>
        <v>26.599999999999998</v>
      </c>
      <c r="S11" s="104">
        <f>+Q11</f>
        <v>26.599999999999998</v>
      </c>
      <c r="U11" s="104">
        <f>+S11</f>
        <v>26.599999999999998</v>
      </c>
      <c r="AA11" s="149">
        <f>SUMPRODUCT($B$2:$B$9,AA2:AA9)/$B$10</f>
        <v>0.23194000000000001</v>
      </c>
      <c r="AB11" s="149">
        <f t="shared" ref="AB11:AI11" si="14">SUMPRODUCT($B$2:$B$9,AB2:AB9)/$B$10</f>
        <v>0.53100000000000014</v>
      </c>
      <c r="AC11" s="149">
        <f t="shared" si="14"/>
        <v>0.16318000000000002</v>
      </c>
      <c r="AD11" s="149">
        <f t="shared" si="14"/>
        <v>2.742E-2</v>
      </c>
      <c r="AE11" s="149">
        <f t="shared" si="14"/>
        <v>0.15330000000000002</v>
      </c>
      <c r="AF11" s="149">
        <f t="shared" si="14"/>
        <v>3.6580000000000008E-2</v>
      </c>
      <c r="AG11" s="149">
        <f t="shared" si="14"/>
        <v>0.28472000000000003</v>
      </c>
      <c r="AH11" s="149">
        <f t="shared" si="14"/>
        <v>0.15188000000000001</v>
      </c>
      <c r="AI11" s="149">
        <f t="shared" si="14"/>
        <v>3.2259999999999997E-2</v>
      </c>
      <c r="AK11" t="s">
        <v>259</v>
      </c>
      <c r="AL11" s="3">
        <f>+AL5/12*16</f>
        <v>23.169999999999998</v>
      </c>
      <c r="AM11" s="3">
        <f>+AM5/55*16</f>
        <v>12.132654545454544</v>
      </c>
      <c r="AN11" s="3">
        <f>+AN5/28*16</f>
        <v>7.9440000000000008</v>
      </c>
    </row>
    <row r="12" spans="1:42">
      <c r="C12" s="128">
        <f>(C11*0.98+C13)/B11</f>
        <v>0.89789808571428564</v>
      </c>
      <c r="F12" s="192" t="s">
        <v>275</v>
      </c>
      <c r="G12" s="192">
        <v>18</v>
      </c>
      <c r="H12" s="192">
        <v>18</v>
      </c>
      <c r="I12" s="192"/>
      <c r="K12" s="3">
        <f>+B18*0.9*K10</f>
        <v>15.349572</v>
      </c>
      <c r="L12" s="113" t="s">
        <v>264</v>
      </c>
      <c r="N12" s="1"/>
      <c r="O12" s="114">
        <f>+B17-N17/7</f>
        <v>28.322752568882422</v>
      </c>
      <c r="P12" s="1"/>
      <c r="Q12" s="114">
        <f>+O12-P17/7</f>
        <v>26.46075256888242</v>
      </c>
      <c r="R12" s="1"/>
      <c r="S12" s="114">
        <f>+Q12-R17/7</f>
        <v>25.233161998726924</v>
      </c>
      <c r="T12" s="1"/>
      <c r="U12" s="114"/>
      <c r="V12" s="3">
        <f>+N10+P10+R10+T10</f>
        <v>35.01</v>
      </c>
      <c r="W12" s="188">
        <f>+B4*X5</f>
        <v>327.05605940504176</v>
      </c>
      <c r="AA12" s="10"/>
      <c r="AB12" s="10"/>
      <c r="AC12" s="1"/>
      <c r="AD12" s="1"/>
      <c r="AE12" s="1"/>
      <c r="AF12" s="1"/>
      <c r="AG12" s="1"/>
      <c r="AH12" s="1"/>
      <c r="AI12" s="1"/>
      <c r="AK12" t="s">
        <v>260</v>
      </c>
      <c r="AL12" s="3">
        <f>+AL6/12*16</f>
        <v>0</v>
      </c>
      <c r="AM12" s="3">
        <f>+AM6/55*16</f>
        <v>0</v>
      </c>
      <c r="AN12" s="3">
        <f>+AN6/28*16</f>
        <v>0</v>
      </c>
    </row>
    <row r="13" spans="1:42">
      <c r="A13" t="s">
        <v>275</v>
      </c>
      <c r="C13" s="1">
        <v>0.34</v>
      </c>
      <c r="F13" s="129" t="s">
        <v>206</v>
      </c>
      <c r="G13" s="130">
        <v>150</v>
      </c>
      <c r="H13" s="130">
        <f>+I13/I16</f>
        <v>137.06896551724137</v>
      </c>
      <c r="I13" s="130">
        <f>+G13*I15</f>
        <v>3975000</v>
      </c>
      <c r="L13" s="111" t="s">
        <v>201</v>
      </c>
      <c r="M13" s="111"/>
      <c r="N13" s="112">
        <f>(N17+B16)/7+(N10-N17)/N14</f>
        <v>8.257723621593767</v>
      </c>
      <c r="O13" s="1"/>
      <c r="P13" s="112">
        <f>+P10/7+N13</f>
        <v>10.119723621593767</v>
      </c>
      <c r="R13" s="112">
        <f>+R10/7+P13</f>
        <v>11.112723621593767</v>
      </c>
      <c r="T13" s="112">
        <f>+T10/7+R13</f>
        <v>11.112723621593767</v>
      </c>
      <c r="V13" s="112"/>
      <c r="W13" s="126"/>
      <c r="AA13" s="146"/>
      <c r="AB13" s="146"/>
      <c r="AC13">
        <f>+AC11%*B11*1000</f>
        <v>57.113000000000007</v>
      </c>
      <c r="AP13" t="s">
        <v>261</v>
      </c>
    </row>
    <row r="14" spans="1:42">
      <c r="A14" t="s">
        <v>277</v>
      </c>
      <c r="D14" s="3">
        <f>+SUM(D2:D9)-D11</f>
        <v>1.5082900000000001</v>
      </c>
      <c r="F14" s="131" t="s">
        <v>207</v>
      </c>
      <c r="G14" s="132">
        <f>+G11+G13+G12</f>
        <v>406.48587346459317</v>
      </c>
      <c r="H14" s="132">
        <f>+H11+H13+H12</f>
        <v>393.55483898183456</v>
      </c>
      <c r="I14" s="132"/>
      <c r="L14" s="233" t="s">
        <v>284</v>
      </c>
      <c r="M14" s="233"/>
      <c r="N14" s="10">
        <f>+SUMPRODUCT($K$2:$K$9,M2:M9)/M10</f>
        <v>0.57383831954169318</v>
      </c>
      <c r="P14" s="10">
        <f>+SUMPRODUCT($K$2:$K$9,O2:O9)/O10</f>
        <v>0.51660721363456208</v>
      </c>
      <c r="R14" s="10">
        <f>+SUMPRODUCT($K$2:$K$9,Q2:Q9)/Q10</f>
        <v>0.39161525422340865</v>
      </c>
      <c r="T14" s="10" t="e">
        <f>+SUMPRODUCT($K$2:$K$9,T2:T9)/T10</f>
        <v>#DIV/0!</v>
      </c>
      <c r="AA14" s="146"/>
      <c r="AB14" s="146"/>
      <c r="AH14" t="s">
        <v>136</v>
      </c>
      <c r="AI14">
        <v>28</v>
      </c>
      <c r="AL14" s="3">
        <f>+AL9/1.43</f>
        <v>32.412587412587413</v>
      </c>
      <c r="AM14" s="3">
        <f>+AM9/1.43</f>
        <v>15.467005721551178</v>
      </c>
      <c r="AN14" s="3">
        <f>+AN9/1.43</f>
        <v>8.8607392607392619</v>
      </c>
      <c r="AO14" s="3">
        <f>SUM(AL14:AN14)</f>
        <v>56.740332394877854</v>
      </c>
      <c r="AP14" s="1">
        <v>70</v>
      </c>
    </row>
    <row r="15" spans="1:42">
      <c r="C15" s="36">
        <f>(C11+C13)*E15</f>
        <v>31.57993725</v>
      </c>
      <c r="D15" t="s">
        <v>247</v>
      </c>
      <c r="E15" s="128">
        <v>0.98499999999999999</v>
      </c>
      <c r="G15">
        <v>273.2</v>
      </c>
      <c r="I15">
        <v>26500</v>
      </c>
      <c r="L15" s="233" t="s">
        <v>285</v>
      </c>
      <c r="M15" s="233"/>
      <c r="N15" s="12">
        <f>+SUMPRODUCT($H$2:$H$9,N2:N9)</f>
        <v>6862.19</v>
      </c>
      <c r="O15" s="12"/>
      <c r="P15" s="12">
        <f>+SUMPRODUCT($H$2:$H$9,P2:P9)</f>
        <v>5864.58</v>
      </c>
      <c r="Q15" s="12"/>
      <c r="R15" s="12">
        <f>+SUMPRODUCT($H$2:$H$9,R2:R9)</f>
        <v>3217.2799999999997</v>
      </c>
      <c r="S15" s="12"/>
      <c r="T15" s="12">
        <f>+SUMPRODUCT($H$2:$H$9,T2:T9)</f>
        <v>0</v>
      </c>
      <c r="X15" s="125">
        <f>+Y1*11+15000</f>
        <v>246000</v>
      </c>
      <c r="Y15" s="125"/>
      <c r="AH15" t="s">
        <v>75</v>
      </c>
      <c r="AI15">
        <v>16</v>
      </c>
      <c r="AL15" s="3">
        <f>+AL10/1.43+300*0.7</f>
        <v>237.0993006993007</v>
      </c>
      <c r="AM15" s="3">
        <f t="shared" ref="AL15:AN17" si="15">+AM10/1.43</f>
        <v>13.862733630006359</v>
      </c>
      <c r="AN15" s="3">
        <f t="shared" si="15"/>
        <v>8.406793206793207</v>
      </c>
      <c r="AO15" s="3">
        <f>SUM(AL15:AN15)</f>
        <v>259.36882753610024</v>
      </c>
      <c r="AP15" s="1">
        <v>300</v>
      </c>
    </row>
    <row r="16" spans="1:42">
      <c r="A16" s="122" t="s">
        <v>199</v>
      </c>
      <c r="B16" s="36">
        <v>6</v>
      </c>
      <c r="C16" s="36" t="s">
        <v>200</v>
      </c>
      <c r="D16" t="s">
        <v>248</v>
      </c>
      <c r="E16" s="128">
        <f>+C12</f>
        <v>0.89789808571428564</v>
      </c>
      <c r="G16">
        <v>160</v>
      </c>
      <c r="I16">
        <v>29000</v>
      </c>
      <c r="L16" s="233" t="s">
        <v>286</v>
      </c>
      <c r="M16" s="233"/>
      <c r="N16" s="12">
        <f>+O10-(B17-O10)</f>
        <v>20.46</v>
      </c>
      <c r="P16" s="12">
        <f>+O10</f>
        <v>25.23</v>
      </c>
      <c r="Q16" s="1"/>
      <c r="R16" s="12">
        <f>+Q10</f>
        <v>17.749563953488373</v>
      </c>
      <c r="S16" s="1"/>
      <c r="T16" s="12" t="e">
        <f>+T10/T14</f>
        <v>#DIV/0!</v>
      </c>
      <c r="AL16" s="3">
        <f t="shared" si="15"/>
        <v>16.202797202797203</v>
      </c>
      <c r="AM16" s="3">
        <f t="shared" si="15"/>
        <v>8.4843738080101705</v>
      </c>
      <c r="AN16" s="3">
        <f t="shared" si="15"/>
        <v>5.5552447552447557</v>
      </c>
      <c r="AO16" s="3">
        <f>SUM(AL16:AN16)</f>
        <v>30.242415766052133</v>
      </c>
      <c r="AP16" s="1">
        <v>40</v>
      </c>
    </row>
    <row r="17" spans="1:42">
      <c r="A17" s="122" t="s">
        <v>185</v>
      </c>
      <c r="B17" s="36">
        <v>30</v>
      </c>
      <c r="C17" s="36" t="s">
        <v>187</v>
      </c>
      <c r="D17" t="s">
        <v>225</v>
      </c>
      <c r="E17" s="128">
        <f>+E15*E16</f>
        <v>0.88442961442857138</v>
      </c>
      <c r="F17" s="101">
        <f>+B11*E17</f>
        <v>30.955036504999999</v>
      </c>
      <c r="G17">
        <f>+G15+G16</f>
        <v>433.2</v>
      </c>
      <c r="L17" s="233" t="s">
        <v>251</v>
      </c>
      <c r="M17" s="233"/>
      <c r="N17" s="3">
        <f>+N14*N16</f>
        <v>11.740732017823042</v>
      </c>
      <c r="P17" s="3">
        <f>+P16*P14</f>
        <v>13.034000000000001</v>
      </c>
      <c r="Q17" s="3"/>
      <c r="R17" s="3">
        <f>+IF(R16=0,B10-N17-P17,R14*R16+(N10-N17)/2)</f>
        <v>8.5931339910884788</v>
      </c>
      <c r="T17" s="3">
        <f>+(N10+P10+R10+T10)-(N17+P17+R17)</f>
        <v>1.6421339910884782</v>
      </c>
      <c r="AL17" s="3">
        <f t="shared" si="15"/>
        <v>0</v>
      </c>
      <c r="AM17" s="3">
        <f t="shared" si="15"/>
        <v>0</v>
      </c>
      <c r="AN17" s="3">
        <f t="shared" si="15"/>
        <v>0</v>
      </c>
      <c r="AO17" s="3">
        <f>SUM(AL17:AN17)</f>
        <v>0</v>
      </c>
      <c r="AP17" s="1">
        <v>20</v>
      </c>
    </row>
    <row r="18" spans="1:42">
      <c r="A18" s="122" t="s">
        <v>186</v>
      </c>
      <c r="B18" s="36">
        <v>28</v>
      </c>
      <c r="C18" s="36" t="s">
        <v>187</v>
      </c>
      <c r="L18" s="233" t="s">
        <v>252</v>
      </c>
      <c r="M18" s="233"/>
      <c r="N18" s="12">
        <f>+N15/N10*N17*$I$11</f>
        <v>4356.5489155196519</v>
      </c>
      <c r="O18" s="1"/>
      <c r="P18" s="12">
        <f>+P15/P10*P17*$I$11</f>
        <v>4764.7056498539778</v>
      </c>
      <c r="Q18" s="1"/>
      <c r="R18" s="12">
        <f>+R15/R10*R17*$I$11</f>
        <v>3231.4118686174311</v>
      </c>
      <c r="S18" s="1"/>
      <c r="T18" s="12" t="e">
        <f>+T15/T10*T17*$I$11</f>
        <v>#DIV/0!</v>
      </c>
      <c r="V18" s="12">
        <f>+B10*F27</f>
        <v>16989.349999999999</v>
      </c>
      <c r="AA18" t="s">
        <v>136</v>
      </c>
      <c r="AB18" t="s">
        <v>280</v>
      </c>
      <c r="AC18" t="s">
        <v>132</v>
      </c>
      <c r="AD18" t="s">
        <v>281</v>
      </c>
      <c r="AE18" t="s">
        <v>31</v>
      </c>
      <c r="AG18" s="101">
        <f>(AC11%*B11*1000)/AA19*AE19</f>
        <v>122.38500000000001</v>
      </c>
    </row>
    <row r="19" spans="1:42">
      <c r="A19" s="36" t="s">
        <v>4</v>
      </c>
      <c r="B19" s="107">
        <v>0.87</v>
      </c>
      <c r="C19" s="36" t="s">
        <v>194</v>
      </c>
      <c r="D19" s="36"/>
      <c r="L19" s="233" t="s">
        <v>262</v>
      </c>
      <c r="M19" s="233"/>
      <c r="N19" s="12">
        <v>90</v>
      </c>
      <c r="P19" s="12">
        <v>100</v>
      </c>
      <c r="R19" s="12">
        <v>110</v>
      </c>
      <c r="T19" s="12">
        <v>130</v>
      </c>
      <c r="V19" s="12">
        <f>SUM(N19:T19)</f>
        <v>430</v>
      </c>
      <c r="AA19">
        <f>+AI14</f>
        <v>28</v>
      </c>
      <c r="AE19">
        <f>+AI14+2*AI15</f>
        <v>60</v>
      </c>
      <c r="AL19">
        <f>+AL2/330</f>
        <v>0.10534090909090908</v>
      </c>
    </row>
    <row r="20" spans="1:42">
      <c r="L20" s="233" t="s">
        <v>263</v>
      </c>
      <c r="M20" s="233"/>
      <c r="N20" s="12">
        <f>+N18/N10-N19</f>
        <v>199.95333880330463</v>
      </c>
      <c r="O20" s="100"/>
      <c r="P20" s="12">
        <f>+P18/P10-P19</f>
        <v>265.55973989979879</v>
      </c>
      <c r="Q20" s="100"/>
      <c r="R20" s="12">
        <f>+R18/R10-R19</f>
        <v>354.8844581524142</v>
      </c>
      <c r="S20" s="100"/>
      <c r="T20" s="12" t="e">
        <f>+T18/T10-T19</f>
        <v>#DIV/0!</v>
      </c>
      <c r="V20" s="12">
        <f>+V18/B11-V19</f>
        <v>55.409999999999968</v>
      </c>
      <c r="W20">
        <f>+V20*B10</f>
        <v>1939.349999999999</v>
      </c>
      <c r="X20" s="167">
        <v>0.25</v>
      </c>
      <c r="Y20" s="195"/>
    </row>
    <row r="21" spans="1:42">
      <c r="L21" t="s">
        <v>294</v>
      </c>
      <c r="X21" s="167"/>
      <c r="Y21" s="195"/>
    </row>
    <row r="22" spans="1:42">
      <c r="A22" t="s">
        <v>273</v>
      </c>
      <c r="B22">
        <v>520</v>
      </c>
      <c r="F22" s="196"/>
      <c r="M22" s="232"/>
      <c r="X22" s="167">
        <v>0.35</v>
      </c>
      <c r="Y22" s="195"/>
      <c r="AB22" t="s">
        <v>282</v>
      </c>
      <c r="AD22" s="101">
        <f>+AG18+'Horno Eléctrico'!M3</f>
        <v>690.68537400000002</v>
      </c>
    </row>
    <row r="23" spans="1:42">
      <c r="A23" t="s">
        <v>274</v>
      </c>
      <c r="B23" s="101">
        <f>+B22-G14</f>
        <v>113.51412653540683</v>
      </c>
      <c r="F23" s="196"/>
      <c r="M23" s="232"/>
      <c r="X23" s="167">
        <v>0</v>
      </c>
      <c r="Y23" s="195"/>
    </row>
    <row r="24" spans="1:42" ht="17.399999999999999">
      <c r="D24" s="234" t="s">
        <v>295</v>
      </c>
      <c r="E24" s="235"/>
      <c r="F24" s="235"/>
      <c r="G24" s="235"/>
      <c r="H24" s="235"/>
      <c r="I24" s="236"/>
      <c r="M24" s="232"/>
      <c r="X24" s="167"/>
      <c r="Y24" s="195"/>
    </row>
    <row r="25" spans="1:42" ht="15.6">
      <c r="D25" s="197"/>
      <c r="E25" s="198" t="s">
        <v>265</v>
      </c>
      <c r="F25" s="199">
        <f>+I10</f>
        <v>455.40999999999997</v>
      </c>
      <c r="G25" s="198" t="s">
        <v>287</v>
      </c>
      <c r="H25" s="198"/>
      <c r="I25" s="200"/>
      <c r="M25" s="232"/>
      <c r="X25" s="167">
        <v>0.25</v>
      </c>
      <c r="Y25" s="195"/>
    </row>
    <row r="26" spans="1:42" ht="15.6">
      <c r="A26">
        <v>570</v>
      </c>
      <c r="D26" s="197"/>
      <c r="E26" s="198" t="s">
        <v>32</v>
      </c>
      <c r="F26" s="199">
        <v>30</v>
      </c>
      <c r="G26" s="198" t="s">
        <v>287</v>
      </c>
      <c r="H26" s="198"/>
      <c r="I26" s="200"/>
      <c r="M26" s="232"/>
      <c r="X26" s="167">
        <v>0</v>
      </c>
      <c r="Y26" s="195"/>
    </row>
    <row r="27" spans="1:42" ht="15.6">
      <c r="D27" s="197"/>
      <c r="E27" s="198" t="s">
        <v>2</v>
      </c>
      <c r="F27" s="199">
        <f>+F25+F26</f>
        <v>485.40999999999997</v>
      </c>
      <c r="G27" s="198" t="s">
        <v>287</v>
      </c>
      <c r="H27" s="201">
        <f>+F27*B10</f>
        <v>16989.349999999999</v>
      </c>
      <c r="I27" s="202" t="s">
        <v>269</v>
      </c>
      <c r="M27" s="232"/>
      <c r="N27" t="s">
        <v>265</v>
      </c>
      <c r="O27" s="100">
        <f>+F25</f>
        <v>455.40999999999997</v>
      </c>
      <c r="X27" s="167">
        <v>0.15</v>
      </c>
      <c r="Y27" s="195"/>
    </row>
    <row r="28" spans="1:42" ht="15.6">
      <c r="D28" s="197"/>
      <c r="E28" s="198"/>
      <c r="F28" s="198"/>
      <c r="G28" s="198"/>
      <c r="H28" s="201"/>
      <c r="I28" s="200"/>
      <c r="M28" s="232"/>
      <c r="N28" t="s">
        <v>32</v>
      </c>
      <c r="O28">
        <v>20</v>
      </c>
    </row>
    <row r="29" spans="1:42" ht="15.6">
      <c r="D29" s="197" t="s">
        <v>262</v>
      </c>
      <c r="E29" s="198"/>
      <c r="F29" s="201">
        <v>3800</v>
      </c>
      <c r="G29" s="198" t="s">
        <v>269</v>
      </c>
      <c r="H29" s="201">
        <f>+F29/B10</f>
        <v>108.57142857142857</v>
      </c>
      <c r="I29" s="202" t="s">
        <v>287</v>
      </c>
      <c r="M29" s="232"/>
      <c r="N29" t="s">
        <v>2</v>
      </c>
      <c r="O29" s="100">
        <f>+O27+O28</f>
        <v>475.40999999999997</v>
      </c>
      <c r="Q29" s="127">
        <f>+O29*B10</f>
        <v>16639.349999999999</v>
      </c>
    </row>
    <row r="30" spans="1:42" ht="15.6">
      <c r="D30" s="197" t="s">
        <v>263</v>
      </c>
      <c r="E30" s="198"/>
      <c r="F30" s="201">
        <f>+F27*B10-F29</f>
        <v>13189.349999999999</v>
      </c>
      <c r="G30" s="198" t="s">
        <v>269</v>
      </c>
      <c r="H30" s="201">
        <f>+F30/B10</f>
        <v>376.83857142857141</v>
      </c>
      <c r="I30" s="202" t="s">
        <v>287</v>
      </c>
      <c r="M30" s="232"/>
      <c r="Q30" s="127"/>
    </row>
    <row r="31" spans="1:42" ht="15.6">
      <c r="D31" s="197"/>
      <c r="E31" s="198"/>
      <c r="F31" s="198"/>
      <c r="G31" s="198"/>
      <c r="H31" s="198"/>
      <c r="I31" s="200"/>
      <c r="M31" s="232"/>
      <c r="N31" t="s">
        <v>266</v>
      </c>
      <c r="O31" s="100">
        <v>110</v>
      </c>
      <c r="Q31" s="127">
        <f>+B10*O31</f>
        <v>3850</v>
      </c>
      <c r="R31" s="101">
        <f>+Q31/F17</f>
        <v>124.37394474977054</v>
      </c>
    </row>
    <row r="32" spans="1:42" ht="15.6">
      <c r="D32" s="197"/>
      <c r="E32" s="198" t="s">
        <v>272</v>
      </c>
      <c r="F32" s="198"/>
      <c r="G32" s="198" t="s">
        <v>268</v>
      </c>
      <c r="H32" s="203">
        <v>29.5</v>
      </c>
      <c r="I32" s="200"/>
      <c r="M32" s="232"/>
      <c r="N32" t="s">
        <v>267</v>
      </c>
      <c r="O32" s="100">
        <f>+O29-O31</f>
        <v>365.40999999999997</v>
      </c>
      <c r="P32" t="s">
        <v>269</v>
      </c>
      <c r="Q32" s="127">
        <f>+B10*O32</f>
        <v>12789.349999999999</v>
      </c>
      <c r="R32" s="101">
        <f>+Q32/F17</f>
        <v>413.1589377364877</v>
      </c>
    </row>
    <row r="33" spans="4:17" ht="15.6">
      <c r="D33" s="197"/>
      <c r="E33" s="198"/>
      <c r="F33" s="198"/>
      <c r="G33" s="198"/>
      <c r="H33" s="198"/>
      <c r="I33" s="200"/>
      <c r="M33" s="232"/>
    </row>
    <row r="34" spans="4:17" ht="15.6">
      <c r="D34" s="197"/>
      <c r="E34" s="198"/>
      <c r="F34" s="204" t="s">
        <v>271</v>
      </c>
      <c r="G34" s="203" t="s">
        <v>291</v>
      </c>
      <c r="H34" s="229">
        <f>60/(H32*1000/F30)</f>
        <v>26.82579661016949</v>
      </c>
      <c r="I34" s="200"/>
      <c r="M34" s="232"/>
      <c r="N34" t="s">
        <v>272</v>
      </c>
      <c r="P34" t="s">
        <v>268</v>
      </c>
      <c r="Q34">
        <v>29</v>
      </c>
    </row>
    <row r="35" spans="4:17" ht="16.2" thickBot="1">
      <c r="D35" s="205"/>
      <c r="E35" s="206"/>
      <c r="F35" s="207" t="s">
        <v>288</v>
      </c>
      <c r="G35" s="208" t="s">
        <v>291</v>
      </c>
      <c r="H35" s="230">
        <v>11</v>
      </c>
      <c r="I35" s="200"/>
      <c r="M35" s="232"/>
    </row>
    <row r="36" spans="4:17" ht="16.2" thickTop="1">
      <c r="D36" s="205"/>
      <c r="E36" s="206"/>
      <c r="F36" s="204" t="s">
        <v>289</v>
      </c>
      <c r="G36" s="203" t="s">
        <v>291</v>
      </c>
      <c r="H36" s="229">
        <f>SUM(H34:H35)</f>
        <v>37.82579661016949</v>
      </c>
      <c r="I36" s="200"/>
      <c r="M36" s="232"/>
      <c r="O36" t="s">
        <v>271</v>
      </c>
      <c r="P36" t="s">
        <v>270</v>
      </c>
      <c r="Q36" s="191">
        <f>60/(Q34*1000/Q32)</f>
        <v>26.460724137931031</v>
      </c>
    </row>
    <row r="37" spans="4:17" ht="16.2" thickBot="1">
      <c r="D37" s="209"/>
      <c r="E37" s="210"/>
      <c r="F37" s="210"/>
      <c r="G37" s="210"/>
      <c r="H37" s="211"/>
      <c r="I37" s="212"/>
      <c r="M37" s="232"/>
    </row>
    <row r="38" spans="4:17" ht="22.2" thickTop="1" thickBot="1">
      <c r="D38" s="209"/>
      <c r="E38" s="216" t="s">
        <v>290</v>
      </c>
      <c r="F38" s="217"/>
      <c r="G38" s="218"/>
      <c r="H38" s="231">
        <f>+C15/H36*60</f>
        <v>50.092698761315255</v>
      </c>
      <c r="I38" s="212"/>
    </row>
    <row r="39" spans="4:17" ht="15" thickTop="1">
      <c r="D39" s="213"/>
      <c r="E39" s="214"/>
      <c r="F39" s="214"/>
      <c r="G39" s="214"/>
      <c r="H39" s="214"/>
      <c r="I39" s="215"/>
    </row>
  </sheetData>
  <mergeCells count="8">
    <mergeCell ref="L20:M20"/>
    <mergeCell ref="D24:I24"/>
    <mergeCell ref="L14:M14"/>
    <mergeCell ref="L15:M15"/>
    <mergeCell ref="L16:M16"/>
    <mergeCell ref="L17:M17"/>
    <mergeCell ref="L18:M18"/>
    <mergeCell ref="L19:M19"/>
  </mergeCells>
  <pageMargins left="0.7" right="0.7" top="0.75" bottom="0.75" header="0.3" footer="0.3"/>
  <pageSetup orientation="portrait" horizontalDpi="4294967293" verticalDpi="4294967293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T115"/>
  <sheetViews>
    <sheetView workbookViewId="0">
      <selection activeCell="H14" sqref="H14"/>
    </sheetView>
  </sheetViews>
  <sheetFormatPr baseColWidth="10" defaultColWidth="11.44140625" defaultRowHeight="13.8"/>
  <cols>
    <col min="1" max="1" width="18.44140625" style="32" customWidth="1"/>
    <col min="2" max="2" width="9.109375" style="32" customWidth="1"/>
    <col min="3" max="3" width="6.6640625" style="32" customWidth="1"/>
    <col min="4" max="4" width="11.109375" style="32" customWidth="1"/>
    <col min="5" max="5" width="10.44140625" style="32" customWidth="1"/>
    <col min="6" max="6" width="9.33203125" style="32" customWidth="1"/>
    <col min="7" max="7" width="9.109375" style="32" customWidth="1"/>
    <col min="8" max="8" width="9.33203125" style="32" customWidth="1"/>
    <col min="9" max="9" width="8" style="32" customWidth="1"/>
    <col min="10" max="10" width="10.44140625" style="32" bestFit="1" customWidth="1"/>
    <col min="11" max="11" width="5.109375" style="32" customWidth="1"/>
    <col min="12" max="12" width="7.33203125" style="32" customWidth="1"/>
    <col min="13" max="13" width="12.44140625" style="32" bestFit="1" customWidth="1"/>
    <col min="14" max="14" width="7.5546875" style="32" bestFit="1" customWidth="1"/>
    <col min="15" max="15" width="9.44140625" style="32" customWidth="1"/>
    <col min="16" max="16" width="12.109375" style="32" bestFit="1" customWidth="1"/>
    <col min="17" max="16384" width="11.44140625" style="32"/>
  </cols>
  <sheetData>
    <row r="1" spans="1:176" ht="15" customHeight="1">
      <c r="A1" s="32" t="s">
        <v>0</v>
      </c>
      <c r="B1" s="32" t="s">
        <v>3</v>
      </c>
      <c r="C1" s="32" t="s">
        <v>21</v>
      </c>
      <c r="D1" s="32" t="s">
        <v>1</v>
      </c>
      <c r="E1" s="32" t="s">
        <v>4</v>
      </c>
      <c r="F1" s="32" t="s">
        <v>84</v>
      </c>
      <c r="G1" s="32" t="s">
        <v>184</v>
      </c>
      <c r="H1" s="32" t="s">
        <v>86</v>
      </c>
      <c r="L1" s="33" t="s">
        <v>209</v>
      </c>
      <c r="M1" s="34">
        <f>+B16+B27+B33+I19+B26+B38</f>
        <v>4564.5246181818193</v>
      </c>
      <c r="N1" s="241" t="s">
        <v>42</v>
      </c>
      <c r="O1" s="242"/>
      <c r="P1" s="64" t="s">
        <v>39</v>
      </c>
      <c r="R1" s="64" t="s">
        <v>54</v>
      </c>
      <c r="S1" s="64" t="s">
        <v>4</v>
      </c>
      <c r="FK1" s="32" t="s">
        <v>35</v>
      </c>
      <c r="FL1" s="32" t="s">
        <v>109</v>
      </c>
      <c r="FM1" s="32" t="s">
        <v>110</v>
      </c>
      <c r="FN1" s="32" t="s">
        <v>111</v>
      </c>
      <c r="FO1" s="32" t="s">
        <v>112</v>
      </c>
      <c r="FP1" s="32" t="s">
        <v>113</v>
      </c>
      <c r="FQ1" s="32" t="s">
        <v>114</v>
      </c>
      <c r="FR1" s="32" t="s">
        <v>115</v>
      </c>
      <c r="FS1" s="32" t="s">
        <v>116</v>
      </c>
      <c r="FT1" s="32" t="s">
        <v>117</v>
      </c>
    </row>
    <row r="2" spans="1:176" ht="14.4">
      <c r="A2" s="35" t="str">
        <f>+PPC!A2</f>
        <v>LIVIANA</v>
      </c>
      <c r="B2" s="36">
        <f t="shared" ref="B2:B9" si="0">+$B$13*H2</f>
        <v>5.61</v>
      </c>
      <c r="C2" s="36">
        <f t="shared" ref="C2:C9" si="1">+B2*(1-F2)</f>
        <v>4.7123999999999997</v>
      </c>
      <c r="D2" s="36">
        <f>+B2-C2</f>
        <v>0.89760000000000062</v>
      </c>
      <c r="E2" s="37">
        <f>+PPC!E2</f>
        <v>0.84</v>
      </c>
      <c r="F2" s="37">
        <f t="shared" ref="F2:F9" si="2">1-E2</f>
        <v>0.16000000000000003</v>
      </c>
      <c r="G2" s="38">
        <f>+PPC!G2</f>
        <v>170</v>
      </c>
      <c r="H2" s="37">
        <f>+PPC!J2</f>
        <v>0.17</v>
      </c>
      <c r="L2" s="32" t="s">
        <v>29</v>
      </c>
      <c r="M2" s="40">
        <f>+B19+B28+B35</f>
        <v>917.8791470000001</v>
      </c>
      <c r="N2" s="60" t="s">
        <v>29</v>
      </c>
      <c r="O2" s="97">
        <f t="shared" ref="O2:O9" si="3">+M2/$M$10</f>
        <v>0.27187571897328594</v>
      </c>
      <c r="P2" s="94">
        <f>+M2/M3</f>
        <v>1.6756397542813868</v>
      </c>
      <c r="R2" s="65">
        <f>(C14*1000-E19-E39-(E44-B39)-E49-E54)/1000</f>
        <v>30.136632288888894</v>
      </c>
      <c r="S2" s="66">
        <f>+R2/B14</f>
        <v>0.91323128148148158</v>
      </c>
      <c r="W2" s="39"/>
      <c r="X2" s="39"/>
      <c r="FK2" s="32">
        <v>0</v>
      </c>
      <c r="FL2" s="41">
        <v>0</v>
      </c>
      <c r="FM2" s="41">
        <v>16.999659827586903</v>
      </c>
      <c r="FN2" s="41"/>
      <c r="FO2" s="41"/>
      <c r="FP2" s="41"/>
      <c r="FQ2" s="41"/>
      <c r="FR2" s="41"/>
      <c r="FS2" s="41"/>
    </row>
    <row r="3" spans="1:176">
      <c r="A3" s="35" t="str">
        <f>+PPC!A3</f>
        <v>PESADA IMPORTADA</v>
      </c>
      <c r="B3" s="36">
        <f t="shared" si="0"/>
        <v>2.871</v>
      </c>
      <c r="C3" s="36">
        <f t="shared" si="1"/>
        <v>2.7848699999999997</v>
      </c>
      <c r="D3" s="36">
        <f>+B3-C3</f>
        <v>8.6130000000000262E-2</v>
      </c>
      <c r="E3" s="37">
        <f>+PPC!E3</f>
        <v>0.97</v>
      </c>
      <c r="F3" s="37">
        <f t="shared" si="2"/>
        <v>3.0000000000000027E-2</v>
      </c>
      <c r="G3" s="38">
        <f>+PPC!G3</f>
        <v>220</v>
      </c>
      <c r="H3" s="37">
        <f>+PPC!J3</f>
        <v>8.6999999999999994E-2</v>
      </c>
      <c r="L3" s="32" t="s">
        <v>31</v>
      </c>
      <c r="M3" s="40">
        <f>+B17+B30+I49</f>
        <v>547.77833042857162</v>
      </c>
      <c r="N3" s="60" t="s">
        <v>31</v>
      </c>
      <c r="O3" s="97">
        <f t="shared" si="3"/>
        <v>0.16225189112315033</v>
      </c>
      <c r="S3" s="37"/>
      <c r="FK3" s="32">
        <v>1</v>
      </c>
      <c r="FL3" s="41">
        <v>0.86301369863013699</v>
      </c>
      <c r="FM3" s="41">
        <v>16.698313264053553</v>
      </c>
      <c r="FN3" s="41"/>
      <c r="FO3" s="41"/>
      <c r="FP3" s="41"/>
      <c r="FQ3" s="41"/>
      <c r="FR3" s="41"/>
      <c r="FS3" s="41"/>
    </row>
    <row r="4" spans="1:176">
      <c r="A4" s="35" t="str">
        <f>+PPC!A4</f>
        <v>CIZALLA</v>
      </c>
      <c r="B4" s="36">
        <f t="shared" si="0"/>
        <v>14.090999999999999</v>
      </c>
      <c r="C4" s="36">
        <f t="shared" si="1"/>
        <v>12.400079999999999</v>
      </c>
      <c r="D4" s="36">
        <f t="shared" ref="D4:D9" si="4">+B4-C4</f>
        <v>1.6909200000000002</v>
      </c>
      <c r="E4" s="37">
        <f>+PPC!E4</f>
        <v>0.88</v>
      </c>
      <c r="F4" s="37">
        <f t="shared" si="2"/>
        <v>0.12</v>
      </c>
      <c r="G4" s="38">
        <f>+PPC!G4</f>
        <v>180</v>
      </c>
      <c r="H4" s="37">
        <f>+PPC!J4</f>
        <v>0.42699999999999999</v>
      </c>
      <c r="L4" s="32" t="s">
        <v>33</v>
      </c>
      <c r="M4" s="40">
        <f>+B18+I54</f>
        <v>174.12121833333339</v>
      </c>
      <c r="N4" s="60" t="s">
        <v>33</v>
      </c>
      <c r="O4" s="97">
        <f t="shared" si="3"/>
        <v>5.1574688865744012E-2</v>
      </c>
      <c r="P4" s="95" t="s">
        <v>120</v>
      </c>
      <c r="R4" s="32" t="s">
        <v>85</v>
      </c>
      <c r="S4" s="37">
        <v>0.98499999999999999</v>
      </c>
      <c r="FK4" s="32">
        <v>2</v>
      </c>
      <c r="FL4" s="41">
        <v>1.726027397260274</v>
      </c>
      <c r="FM4" s="41">
        <v>16.396966700520203</v>
      </c>
      <c r="FN4" s="41"/>
      <c r="FO4" s="41"/>
      <c r="FP4" s="41"/>
      <c r="FQ4" s="41"/>
      <c r="FR4" s="41"/>
      <c r="FS4" s="41"/>
    </row>
    <row r="5" spans="1:176" ht="14.4">
      <c r="A5" s="35" t="str">
        <f>+PPC!A5</f>
        <v>ALTO RESIDUAL</v>
      </c>
      <c r="B5" s="36">
        <f t="shared" si="0"/>
        <v>0</v>
      </c>
      <c r="C5" s="36">
        <f t="shared" si="1"/>
        <v>0</v>
      </c>
      <c r="D5" s="36">
        <f t="shared" si="4"/>
        <v>0</v>
      </c>
      <c r="E5" s="37">
        <f>+PPC!E5</f>
        <v>0.98</v>
      </c>
      <c r="F5" s="37">
        <f t="shared" si="2"/>
        <v>2.0000000000000018E-2</v>
      </c>
      <c r="G5" s="38">
        <f>+PPC!G5</f>
        <v>217</v>
      </c>
      <c r="H5" s="37">
        <f>+PPC!J5</f>
        <v>0</v>
      </c>
      <c r="L5" s="32" t="s">
        <v>30</v>
      </c>
      <c r="M5" s="40">
        <f>+B20+B29+B34</f>
        <v>188.03075400000003</v>
      </c>
      <c r="N5" s="60" t="s">
        <v>30</v>
      </c>
      <c r="O5" s="97">
        <f t="shared" si="3"/>
        <v>5.569469205169672E-2</v>
      </c>
      <c r="P5" s="96">
        <f>1348.181674+3.99660706*O2+37.2199612*O5-1.19891958*O6-6.37252956*O4-2.62999577*O7-7.33636128*O3+2.000343166*O8</f>
        <v>1348.9983107854789</v>
      </c>
      <c r="R5" s="65">
        <f>+R2*S4</f>
        <v>29.684582804555561</v>
      </c>
      <c r="S5" s="66">
        <f>+S2*S4</f>
        <v>0.8995328122592593</v>
      </c>
      <c r="FK5" s="32">
        <v>3</v>
      </c>
      <c r="FL5" s="41">
        <v>2.5890410958904106</v>
      </c>
      <c r="FM5" s="41">
        <v>16.095620136986852</v>
      </c>
      <c r="FN5" s="41"/>
      <c r="FO5" s="41"/>
      <c r="FP5" s="41"/>
      <c r="FQ5" s="41"/>
      <c r="FR5" s="41"/>
      <c r="FS5" s="41"/>
    </row>
    <row r="6" spans="1:176">
      <c r="A6" s="35" t="str">
        <f>+PPC!A6</f>
        <v>CHATARRA HARSCO</v>
      </c>
      <c r="B6" s="36">
        <f t="shared" si="0"/>
        <v>0</v>
      </c>
      <c r="C6" s="36">
        <f t="shared" si="1"/>
        <v>0</v>
      </c>
      <c r="D6" s="36">
        <f t="shared" si="4"/>
        <v>0</v>
      </c>
      <c r="E6" s="37">
        <f>+PPC!E6</f>
        <v>0.85</v>
      </c>
      <c r="F6" s="37">
        <f t="shared" si="2"/>
        <v>0.15000000000000002</v>
      </c>
      <c r="G6" s="38">
        <f>+PPC!G6</f>
        <v>56</v>
      </c>
      <c r="H6" s="37">
        <f>+PPC!J6</f>
        <v>0</v>
      </c>
      <c r="L6" s="32" t="s">
        <v>34</v>
      </c>
      <c r="M6" s="40">
        <f>+B21+B38</f>
        <v>203.04888218181821</v>
      </c>
      <c r="N6" s="60" t="s">
        <v>34</v>
      </c>
      <c r="O6" s="97">
        <f t="shared" si="3"/>
        <v>6.0143060238739526E-2</v>
      </c>
      <c r="T6" s="184"/>
      <c r="FK6" s="32">
        <v>4</v>
      </c>
      <c r="FL6" s="41">
        <v>3.452054794520548</v>
      </c>
      <c r="FM6" s="41">
        <v>15.794273573453506</v>
      </c>
      <c r="FN6" s="41"/>
      <c r="FO6" s="41"/>
      <c r="FP6" s="41"/>
      <c r="FQ6" s="41"/>
      <c r="FR6" s="41"/>
      <c r="FS6" s="41"/>
    </row>
    <row r="7" spans="1:176">
      <c r="A7" s="35" t="str">
        <f>+PPC!A7</f>
        <v>IMPORTADA SHEADER</v>
      </c>
      <c r="B7" s="36">
        <f t="shared" si="0"/>
        <v>8.5139999999999993</v>
      </c>
      <c r="C7" s="36">
        <f t="shared" si="1"/>
        <v>8.1734399999999994</v>
      </c>
      <c r="D7" s="36">
        <f t="shared" si="4"/>
        <v>0.34055999999999997</v>
      </c>
      <c r="E7" s="37">
        <f>+PPC!E7</f>
        <v>0.96</v>
      </c>
      <c r="F7" s="37">
        <f t="shared" si="2"/>
        <v>4.0000000000000036E-2</v>
      </c>
      <c r="G7" s="38">
        <v>43.32</v>
      </c>
      <c r="H7" s="37">
        <f>+PPC!J7</f>
        <v>0.25800000000000001</v>
      </c>
      <c r="L7" s="32" t="s">
        <v>35</v>
      </c>
      <c r="M7" s="40">
        <f>+B24+I19</f>
        <v>978.10192000000029</v>
      </c>
      <c r="N7" s="60" t="s">
        <v>35</v>
      </c>
      <c r="O7" s="97">
        <f t="shared" si="3"/>
        <v>0.28971369880042769</v>
      </c>
      <c r="P7" s="95" t="s">
        <v>62</v>
      </c>
      <c r="R7" s="61" t="s">
        <v>166</v>
      </c>
      <c r="S7" s="49">
        <f>+G20+G25+G30+G35+G40+G45+G50</f>
        <v>1279.2661501133152</v>
      </c>
      <c r="T7" s="186">
        <f>+S7/R2</f>
        <v>42.448875436721217</v>
      </c>
      <c r="FK7" s="32">
        <v>5</v>
      </c>
      <c r="FL7" s="41">
        <v>4.3150684931506849</v>
      </c>
      <c r="FM7" s="41">
        <v>15.492927009920155</v>
      </c>
      <c r="FN7" s="41"/>
      <c r="FO7" s="41"/>
      <c r="FP7" s="41"/>
      <c r="FQ7" s="41"/>
      <c r="FR7" s="41"/>
      <c r="FS7" s="41"/>
    </row>
    <row r="8" spans="1:176" ht="14.4">
      <c r="A8" s="35" t="str">
        <f>+PPC!A8</f>
        <v>ARRABIO</v>
      </c>
      <c r="B8" s="36">
        <f t="shared" si="0"/>
        <v>0</v>
      </c>
      <c r="C8" s="36">
        <f t="shared" si="1"/>
        <v>0</v>
      </c>
      <c r="D8" s="36">
        <f t="shared" si="4"/>
        <v>0</v>
      </c>
      <c r="E8" s="37">
        <f>+PPC!E8</f>
        <v>0.94</v>
      </c>
      <c r="F8" s="37">
        <f t="shared" si="2"/>
        <v>6.0000000000000053E-2</v>
      </c>
      <c r="G8" s="38">
        <v>30.94</v>
      </c>
      <c r="H8" s="37">
        <f>+PPC!J8</f>
        <v>0</v>
      </c>
      <c r="L8" s="32" t="s">
        <v>102</v>
      </c>
      <c r="M8" s="40">
        <f>+B23+I39</f>
        <v>17.138027322580651</v>
      </c>
      <c r="N8" s="60" t="s">
        <v>102</v>
      </c>
      <c r="O8" s="59">
        <f t="shared" si="3"/>
        <v>5.0762821176832257E-3</v>
      </c>
      <c r="P8" s="94">
        <f>+O2/(O3+O4)</f>
        <v>1.2714776572089705</v>
      </c>
      <c r="S8" s="36"/>
      <c r="T8" s="184"/>
      <c r="FK8" s="32">
        <v>6</v>
      </c>
      <c r="FL8" s="41">
        <v>5.1780821917808213</v>
      </c>
      <c r="FM8" s="41">
        <v>15.191580446386805</v>
      </c>
      <c r="FN8" s="41"/>
      <c r="FO8" s="41"/>
      <c r="FP8" s="41"/>
      <c r="FQ8" s="41"/>
      <c r="FR8" s="41"/>
      <c r="FS8" s="41"/>
    </row>
    <row r="9" spans="1:176">
      <c r="A9" s="35" t="str">
        <f>+PPC!A9</f>
        <v>PESADA</v>
      </c>
      <c r="B9" s="36">
        <f t="shared" si="0"/>
        <v>1.9140000000000001</v>
      </c>
      <c r="C9" s="36">
        <f t="shared" si="1"/>
        <v>1.83744</v>
      </c>
      <c r="D9" s="36">
        <f t="shared" si="4"/>
        <v>7.6560000000000183E-2</v>
      </c>
      <c r="E9" s="37">
        <f>+PPC!E9</f>
        <v>0.96</v>
      </c>
      <c r="F9" s="37">
        <f t="shared" si="2"/>
        <v>4.0000000000000036E-2</v>
      </c>
      <c r="G9" s="38">
        <v>16.46</v>
      </c>
      <c r="H9" s="37">
        <f>+PPC!J9</f>
        <v>5.8000000000000003E-2</v>
      </c>
      <c r="J9" s="137" t="s">
        <v>210</v>
      </c>
      <c r="L9" s="32" t="s">
        <v>38</v>
      </c>
      <c r="M9" s="40">
        <v>350</v>
      </c>
      <c r="N9" s="60" t="s">
        <v>38</v>
      </c>
      <c r="O9" s="59">
        <f t="shared" si="3"/>
        <v>0.1036699678292725</v>
      </c>
      <c r="R9" s="61" t="s">
        <v>127</v>
      </c>
      <c r="S9" s="62">
        <v>1000</v>
      </c>
      <c r="T9" s="186">
        <f>+S9/R5</f>
        <v>33.687520777503885</v>
      </c>
      <c r="FK9" s="32">
        <v>7</v>
      </c>
      <c r="FL9" s="41">
        <v>6.0410958904109595</v>
      </c>
      <c r="FM9" s="41">
        <v>14.890233882853456</v>
      </c>
      <c r="FN9" s="41"/>
      <c r="FO9" s="41"/>
      <c r="FP9" s="41"/>
      <c r="FQ9" s="41"/>
      <c r="FR9" s="41"/>
      <c r="FS9" s="41"/>
    </row>
    <row r="10" spans="1:176">
      <c r="A10" s="35"/>
      <c r="B10" s="36"/>
      <c r="C10" s="36"/>
      <c r="D10" s="36"/>
      <c r="E10" s="37"/>
      <c r="F10" s="37"/>
      <c r="G10" s="38"/>
      <c r="H10" s="37"/>
      <c r="J10" s="139">
        <f>+M10/R5</f>
        <v>113.73238092967874</v>
      </c>
      <c r="L10" s="133" t="s">
        <v>32</v>
      </c>
      <c r="M10" s="134">
        <f>SUM(M2:M9)</f>
        <v>3376.0982792663044</v>
      </c>
      <c r="T10" s="184"/>
      <c r="FK10" s="32">
        <v>8</v>
      </c>
      <c r="FL10" s="41">
        <v>6.904109589041096</v>
      </c>
      <c r="FM10" s="41">
        <v>14.588887319320106</v>
      </c>
      <c r="FN10" s="41"/>
      <c r="FO10" s="41"/>
      <c r="FP10" s="41"/>
      <c r="FQ10" s="41"/>
      <c r="FR10" s="41"/>
      <c r="FS10" s="41"/>
    </row>
    <row r="11" spans="1:176">
      <c r="A11" s="35"/>
      <c r="B11" s="36"/>
      <c r="C11" s="36"/>
      <c r="D11" s="36"/>
      <c r="E11" s="37"/>
      <c r="F11" s="37"/>
      <c r="G11" s="38"/>
      <c r="H11" s="37"/>
      <c r="J11" s="138">
        <f>+M11/R5</f>
        <v>16.843760388751942</v>
      </c>
      <c r="L11" s="135" t="s">
        <v>179</v>
      </c>
      <c r="M11" s="136">
        <v>500</v>
      </c>
      <c r="O11" s="32" t="s">
        <v>181</v>
      </c>
      <c r="P11" s="32" t="s">
        <v>182</v>
      </c>
      <c r="R11" s="184" t="s">
        <v>51</v>
      </c>
      <c r="S11" s="185">
        <f>+S9-S7</f>
        <v>-279.26615011331523</v>
      </c>
      <c r="T11" s="186">
        <f>+S11*1.4284</f>
        <v>-398.90376882185944</v>
      </c>
      <c r="U11" s="186">
        <f>+T11*1000</f>
        <v>-398903.76882185944</v>
      </c>
      <c r="FK11" s="32">
        <v>9</v>
      </c>
      <c r="FL11" s="41">
        <v>7.7671232876712324</v>
      </c>
      <c r="FM11" s="41">
        <v>14.287540755786758</v>
      </c>
      <c r="FN11" s="41"/>
      <c r="FO11" s="41"/>
      <c r="FP11" s="41"/>
      <c r="FQ11" s="41"/>
      <c r="FR11" s="41"/>
      <c r="FS11" s="41"/>
    </row>
    <row r="12" spans="1:176">
      <c r="A12" s="35"/>
      <c r="B12" s="36"/>
      <c r="C12" s="36"/>
      <c r="D12" s="36"/>
      <c r="E12" s="37"/>
      <c r="F12" s="37"/>
      <c r="G12" s="38"/>
      <c r="H12" s="37"/>
      <c r="O12" s="37" t="s">
        <v>180</v>
      </c>
      <c r="P12" s="32" t="s">
        <v>183</v>
      </c>
      <c r="R12" s="184"/>
      <c r="S12" s="186"/>
      <c r="T12" s="186"/>
      <c r="U12" s="186"/>
      <c r="FK12" s="32">
        <v>10</v>
      </c>
      <c r="FL12" s="41">
        <v>8.6301369863013697</v>
      </c>
      <c r="FM12" s="41">
        <v>13.986194192253407</v>
      </c>
      <c r="FN12" s="41"/>
      <c r="FO12" s="41"/>
      <c r="FP12" s="41"/>
      <c r="FQ12" s="41"/>
      <c r="FR12" s="41"/>
      <c r="FS12" s="41"/>
    </row>
    <row r="13" spans="1:176" ht="14.4">
      <c r="B13" s="63">
        <v>33</v>
      </c>
      <c r="M13" s="35" t="s">
        <v>53</v>
      </c>
      <c r="N13" s="37">
        <f>2.19063*10^-4*P2^6-5.15999*10^-3*P2^5+4.94488*10^-2*P2^4-2.47772*10^-1*P2^3+6.92834*10^-1*P2^2-1.05363*P2+7.70403*10^-1</f>
        <v>0.11101464372728465</v>
      </c>
      <c r="O13" s="40">
        <f>+(N13-O5)*M10</f>
        <v>186.76559366104752</v>
      </c>
      <c r="P13" s="36">
        <f>27*O13*0.6</f>
        <v>3025.6026173089695</v>
      </c>
      <c r="R13" s="184" t="s">
        <v>52</v>
      </c>
      <c r="S13" s="187">
        <f>+U11/R2*0.5</f>
        <v>-6618.2539077024157</v>
      </c>
      <c r="T13" s="184"/>
      <c r="U13" s="184"/>
      <c r="FK13" s="32">
        <v>11</v>
      </c>
      <c r="FL13" s="41">
        <v>9.493150684931507</v>
      </c>
      <c r="FM13" s="41">
        <v>13.684847628720059</v>
      </c>
      <c r="FN13" s="41"/>
      <c r="FO13" s="41"/>
      <c r="FP13" s="41"/>
      <c r="FQ13" s="41">
        <v>12.695652173913045</v>
      </c>
      <c r="FR13" s="41"/>
      <c r="FS13" s="41">
        <v>12.7</v>
      </c>
    </row>
    <row r="14" spans="1:176">
      <c r="A14" s="32" t="s">
        <v>2</v>
      </c>
      <c r="B14" s="38">
        <f>SUM(B2:B12)</f>
        <v>33</v>
      </c>
      <c r="C14" s="36">
        <f>SUM(C2:C12)+C78/1000</f>
        <v>30.657132000000001</v>
      </c>
      <c r="D14" s="36">
        <f>SUM(D2:D9)</f>
        <v>3.0917700000000012</v>
      </c>
      <c r="E14" s="36"/>
      <c r="F14" s="43" t="s">
        <v>57</v>
      </c>
      <c r="G14" s="44">
        <f>+SUMPRODUCT(B2:B12,G2:G12)/R2</f>
        <v>150.05097041540475</v>
      </c>
      <c r="H14" s="35"/>
      <c r="FK14" s="32">
        <v>12</v>
      </c>
      <c r="FL14" s="41">
        <v>10.356164383561643</v>
      </c>
      <c r="FM14" s="41">
        <v>13.383501065186708</v>
      </c>
      <c r="FN14" s="41"/>
      <c r="FO14" s="41"/>
      <c r="FP14" s="41"/>
      <c r="FQ14" s="41">
        <v>10.956521739130435</v>
      </c>
      <c r="FR14" s="41"/>
      <c r="FS14" s="41">
        <v>13.35</v>
      </c>
    </row>
    <row r="15" spans="1:176">
      <c r="B15" s="36"/>
      <c r="C15" s="36"/>
      <c r="D15" s="36"/>
      <c r="E15" s="36"/>
      <c r="J15" s="32" t="s">
        <v>237</v>
      </c>
      <c r="FK15" s="32">
        <v>13</v>
      </c>
      <c r="FL15" s="41">
        <v>11.21917808219178</v>
      </c>
      <c r="FM15" s="41">
        <v>13.082154501653358</v>
      </c>
      <c r="FN15" s="41"/>
      <c r="FO15" s="41"/>
      <c r="FP15" s="41"/>
      <c r="FQ15" s="41">
        <v>9.2173913043478262</v>
      </c>
      <c r="FR15" s="41">
        <v>14</v>
      </c>
      <c r="FS15" s="41">
        <v>14</v>
      </c>
    </row>
    <row r="16" spans="1:176" ht="14.4" thickBot="1">
      <c r="A16" s="33" t="s">
        <v>212</v>
      </c>
      <c r="B16" s="34">
        <f>+D14*1000</f>
        <v>3091.7700000000013</v>
      </c>
      <c r="C16" s="45"/>
      <c r="D16" s="46"/>
      <c r="J16" s="32" t="s">
        <v>238</v>
      </c>
      <c r="W16" s="32">
        <v>1.4283999999999999</v>
      </c>
      <c r="FK16" s="32">
        <v>14</v>
      </c>
      <c r="FL16" s="41">
        <v>12.082191780821919</v>
      </c>
      <c r="FM16" s="41">
        <v>12.780807938120009</v>
      </c>
      <c r="FN16" s="41"/>
      <c r="FO16" s="41"/>
      <c r="FP16" s="41"/>
      <c r="FQ16" s="41">
        <v>7.4782608695652177</v>
      </c>
      <c r="FR16" s="41">
        <v>14</v>
      </c>
      <c r="FS16" s="41"/>
    </row>
    <row r="17" spans="1:175">
      <c r="A17" s="35" t="s">
        <v>5</v>
      </c>
      <c r="B17" s="40">
        <f>+G78</f>
        <v>440.64975900000019</v>
      </c>
      <c r="C17" s="38"/>
      <c r="D17" s="80"/>
      <c r="E17" s="69">
        <v>56</v>
      </c>
      <c r="F17" s="69"/>
      <c r="G17" s="69">
        <v>16</v>
      </c>
      <c r="H17" s="69"/>
      <c r="I17" s="70">
        <f>+E17+G17</f>
        <v>72</v>
      </c>
      <c r="U17" s="36"/>
      <c r="V17" s="32" t="s">
        <v>211</v>
      </c>
      <c r="FK17" s="32">
        <v>14.6</v>
      </c>
      <c r="FL17" s="41">
        <v>12.6</v>
      </c>
      <c r="FM17" s="41">
        <v>12.6</v>
      </c>
      <c r="FN17" s="41">
        <v>12.6</v>
      </c>
      <c r="FO17" s="41">
        <v>12.599999543146557</v>
      </c>
      <c r="FP17" s="41"/>
      <c r="FQ17" s="41">
        <v>6.4347826086956532</v>
      </c>
      <c r="FR17" s="41">
        <v>14</v>
      </c>
      <c r="FS17" s="41"/>
    </row>
    <row r="18" spans="1:175">
      <c r="A18" s="35" t="s">
        <v>106</v>
      </c>
      <c r="B18" s="47">
        <f>+F78</f>
        <v>121.13788500000004</v>
      </c>
      <c r="C18" s="48"/>
      <c r="D18" s="81" t="s">
        <v>124</v>
      </c>
      <c r="E18" s="71" t="s">
        <v>138</v>
      </c>
      <c r="F18" s="87" t="s">
        <v>125</v>
      </c>
      <c r="G18" s="71" t="s">
        <v>75</v>
      </c>
      <c r="H18" s="87" t="s">
        <v>126</v>
      </c>
      <c r="I18" s="72" t="s">
        <v>35</v>
      </c>
      <c r="FK18" s="32">
        <v>15</v>
      </c>
      <c r="FL18" s="41"/>
      <c r="FM18" s="41"/>
      <c r="FN18" s="41">
        <v>11.68148148148148</v>
      </c>
      <c r="FO18" s="41">
        <v>12.573266874402533</v>
      </c>
      <c r="FP18" s="41"/>
      <c r="FQ18" s="41">
        <v>5.7</v>
      </c>
      <c r="FR18" s="41">
        <v>14</v>
      </c>
      <c r="FS18" s="41"/>
    </row>
    <row r="19" spans="1:175">
      <c r="A19" s="35" t="s">
        <v>23</v>
      </c>
      <c r="B19" s="40">
        <f>+D78</f>
        <v>336.8791470000001</v>
      </c>
      <c r="C19" s="38"/>
      <c r="D19" s="82"/>
      <c r="E19" s="74">
        <f>+I19*E17/I17</f>
        <v>311.11111111111109</v>
      </c>
      <c r="F19" s="71"/>
      <c r="G19" s="74">
        <f>+I19*G17/I17</f>
        <v>88.888888888888886</v>
      </c>
      <c r="H19" s="71"/>
      <c r="I19" s="86">
        <v>400</v>
      </c>
      <c r="V19" s="32" t="s">
        <v>168</v>
      </c>
      <c r="FK19" s="32">
        <v>16</v>
      </c>
      <c r="FL19" s="41"/>
      <c r="FM19" s="41"/>
      <c r="FN19" s="41">
        <v>9.3851851851851844</v>
      </c>
      <c r="FO19" s="41">
        <v>12.50643520254247</v>
      </c>
      <c r="FP19" s="41"/>
      <c r="FQ19" s="41">
        <v>4</v>
      </c>
      <c r="FR19" s="41">
        <v>14</v>
      </c>
      <c r="FS19" s="41"/>
    </row>
    <row r="20" spans="1:175" ht="14.4" thickBot="1">
      <c r="A20" s="35" t="s">
        <v>107</v>
      </c>
      <c r="B20" s="40">
        <f>+E78</f>
        <v>68.03075400000003</v>
      </c>
      <c r="D20" s="76"/>
      <c r="E20" s="83"/>
      <c r="F20" s="83"/>
      <c r="G20" s="78">
        <f>+G19/1.4284</f>
        <v>62.229689784996424</v>
      </c>
      <c r="H20" s="77"/>
      <c r="I20" s="84"/>
      <c r="FK20" s="32">
        <v>17</v>
      </c>
      <c r="FL20" s="41"/>
      <c r="FM20" s="41"/>
      <c r="FN20" s="41">
        <v>7.0888888888888877</v>
      </c>
      <c r="FO20" s="41">
        <v>12.439603530682406</v>
      </c>
      <c r="FP20" s="41">
        <v>14</v>
      </c>
      <c r="FQ20" s="41">
        <v>3</v>
      </c>
      <c r="FR20" s="41">
        <v>14</v>
      </c>
      <c r="FS20" s="41"/>
    </row>
    <row r="21" spans="1:175" ht="14.4" thickBot="1">
      <c r="A21" s="35" t="s">
        <v>108</v>
      </c>
      <c r="B21" s="40">
        <f>+H78</f>
        <v>30.294264000000013</v>
      </c>
      <c r="G21" s="50"/>
      <c r="FK21" s="32">
        <v>17.3</v>
      </c>
      <c r="FL21" s="41"/>
      <c r="FM21" s="41"/>
      <c r="FN21" s="41">
        <v>6.3999999999999968</v>
      </c>
      <c r="FO21" s="41">
        <v>12.419554029124388</v>
      </c>
      <c r="FP21" s="41">
        <v>13.978684210526316</v>
      </c>
      <c r="FQ21" s="41">
        <v>2.8499999999999996</v>
      </c>
      <c r="FR21" s="41"/>
      <c r="FS21" s="41"/>
    </row>
    <row r="22" spans="1:175">
      <c r="A22" s="35" t="s">
        <v>22</v>
      </c>
      <c r="B22" s="40">
        <f>+K78</f>
        <v>0</v>
      </c>
      <c r="D22" s="239" t="s">
        <v>231</v>
      </c>
      <c r="E22" s="69">
        <v>12</v>
      </c>
      <c r="F22" s="69"/>
      <c r="G22" s="69">
        <v>32</v>
      </c>
      <c r="H22" s="69"/>
      <c r="I22" s="70">
        <f>+E22+G22</f>
        <v>44</v>
      </c>
      <c r="FK22" s="32">
        <v>18</v>
      </c>
      <c r="FL22" s="41"/>
      <c r="FM22" s="41"/>
      <c r="FN22" s="41">
        <v>5.7777777777777786</v>
      </c>
      <c r="FO22" s="41">
        <v>12.372771858822343</v>
      </c>
      <c r="FP22" s="41">
        <v>13.928947368421053</v>
      </c>
      <c r="FQ22" s="41">
        <v>2.5</v>
      </c>
      <c r="FR22" s="41"/>
      <c r="FS22" s="41"/>
    </row>
    <row r="23" spans="1:175" ht="14.4">
      <c r="A23" s="35" t="s">
        <v>141</v>
      </c>
      <c r="B23" s="40">
        <f>+I78</f>
        <v>13.773177000000006</v>
      </c>
      <c r="D23" s="240"/>
      <c r="E23" s="71" t="s">
        <v>139</v>
      </c>
      <c r="F23" s="87" t="s">
        <v>125</v>
      </c>
      <c r="G23" s="71" t="s">
        <v>41</v>
      </c>
      <c r="H23" s="87" t="s">
        <v>126</v>
      </c>
      <c r="I23" s="72" t="s">
        <v>236</v>
      </c>
      <c r="L23" s="158" t="s">
        <v>234</v>
      </c>
      <c r="M23" s="160" t="s">
        <v>232</v>
      </c>
      <c r="N23" s="159" t="s">
        <v>233</v>
      </c>
      <c r="FK23" s="32">
        <v>19</v>
      </c>
      <c r="FL23" s="41"/>
      <c r="FM23" s="41"/>
      <c r="FN23" s="41">
        <v>4.8888888888888902</v>
      </c>
      <c r="FO23" s="41">
        <v>12.30594018696228</v>
      </c>
      <c r="FP23" s="41">
        <v>13.857894736842105</v>
      </c>
      <c r="FQ23" s="41">
        <v>2</v>
      </c>
      <c r="FR23" s="41"/>
      <c r="FS23" s="41"/>
    </row>
    <row r="24" spans="1:175">
      <c r="A24" s="35" t="s">
        <v>24</v>
      </c>
      <c r="B24" s="40">
        <f>+J78</f>
        <v>578.10192000000029</v>
      </c>
      <c r="D24" s="85">
        <v>300</v>
      </c>
      <c r="E24" s="74">
        <f>+D24</f>
        <v>300</v>
      </c>
      <c r="F24" s="71"/>
      <c r="G24" s="74">
        <f>+E24*G22/E22</f>
        <v>800</v>
      </c>
      <c r="H24" s="71"/>
      <c r="I24" s="75"/>
      <c r="L24" s="150" t="s">
        <v>139</v>
      </c>
      <c r="M24" s="155">
        <f>+PPC!AA11</f>
        <v>0.23194000000000001</v>
      </c>
      <c r="N24" s="151">
        <v>0.03</v>
      </c>
      <c r="FK24" s="32">
        <v>20</v>
      </c>
      <c r="FL24" s="41"/>
      <c r="FM24" s="41"/>
      <c r="FN24" s="41">
        <v>4.0000000000000018</v>
      </c>
      <c r="FO24" s="41">
        <v>12.239108515102217</v>
      </c>
      <c r="FP24" s="41">
        <v>13.786842105263158</v>
      </c>
      <c r="FQ24" s="41">
        <v>1.6923077</v>
      </c>
      <c r="FR24" s="41"/>
      <c r="FS24" s="41"/>
    </row>
    <row r="25" spans="1:175" ht="14.4" thickBot="1">
      <c r="A25" s="35"/>
      <c r="B25" s="51">
        <f>SUM(B17:B24)</f>
        <v>1588.8669060000007</v>
      </c>
      <c r="D25" s="76"/>
      <c r="E25" s="77"/>
      <c r="F25" s="77"/>
      <c r="G25" s="78">
        <f>+G24/1.4284</f>
        <v>560.06720806496787</v>
      </c>
      <c r="H25" s="77"/>
      <c r="I25" s="79"/>
      <c r="L25" s="150" t="s">
        <v>74</v>
      </c>
      <c r="M25" s="155">
        <f>+PPC!AB11</f>
        <v>0.53100000000000014</v>
      </c>
      <c r="N25" s="151">
        <v>0.06</v>
      </c>
      <c r="FK25" s="32">
        <v>21</v>
      </c>
      <c r="FL25" s="41"/>
      <c r="FM25" s="41"/>
      <c r="FN25" s="41">
        <v>3.6923076923076925</v>
      </c>
      <c r="FO25" s="41">
        <v>12.172276843242152</v>
      </c>
      <c r="FP25" s="41">
        <v>13.715789473684211</v>
      </c>
      <c r="FQ25" s="41">
        <v>1.3846153999999999</v>
      </c>
      <c r="FR25" s="41"/>
      <c r="FS25" s="41"/>
    </row>
    <row r="26" spans="1:175" ht="14.4" thickBot="1">
      <c r="A26" s="52" t="s">
        <v>58</v>
      </c>
      <c r="B26" s="68">
        <v>700</v>
      </c>
      <c r="L26" s="150" t="s">
        <v>136</v>
      </c>
      <c r="M26" s="155">
        <f>+PPC!AC11</f>
        <v>0.16318000000000002</v>
      </c>
      <c r="N26" s="151">
        <v>0</v>
      </c>
      <c r="FK26" s="32">
        <v>22</v>
      </c>
      <c r="FL26" s="41"/>
      <c r="FM26" s="41"/>
      <c r="FN26" s="41">
        <v>3.3846153846153846</v>
      </c>
      <c r="FO26" s="41">
        <v>12.10544517138209</v>
      </c>
      <c r="FP26" s="41">
        <v>13.644736842105264</v>
      </c>
      <c r="FQ26" s="41">
        <v>1.0769231000000001</v>
      </c>
      <c r="FR26" s="41"/>
      <c r="FS26" s="41"/>
    </row>
    <row r="27" spans="1:175">
      <c r="A27" s="52" t="s">
        <v>28</v>
      </c>
      <c r="B27" s="68">
        <v>0</v>
      </c>
      <c r="D27" s="239" t="s">
        <v>50</v>
      </c>
      <c r="E27" s="69">
        <v>12</v>
      </c>
      <c r="F27" s="69"/>
      <c r="G27" s="69">
        <v>16</v>
      </c>
      <c r="H27" s="69"/>
      <c r="I27" s="70">
        <f>+E27+G27</f>
        <v>28</v>
      </c>
      <c r="L27" s="150" t="s">
        <v>226</v>
      </c>
      <c r="M27" s="156">
        <f>+PPC!AD11</f>
        <v>2.742E-2</v>
      </c>
      <c r="N27" s="152">
        <v>0.02</v>
      </c>
      <c r="FK27" s="32">
        <v>23</v>
      </c>
      <c r="FL27" s="41"/>
      <c r="FM27" s="41"/>
      <c r="FN27" s="41">
        <v>3.0769230769230766</v>
      </c>
      <c r="FO27" s="41">
        <v>12.038613499522025</v>
      </c>
      <c r="FP27" s="41">
        <v>13.573684210526316</v>
      </c>
      <c r="FQ27" s="41">
        <v>0.7692308000000001</v>
      </c>
      <c r="FR27" s="41"/>
      <c r="FS27" s="41"/>
    </row>
    <row r="28" spans="1:175">
      <c r="A28" s="32" t="s">
        <v>29</v>
      </c>
      <c r="B28" s="40">
        <f>+B27*0.58+B26*0.83</f>
        <v>581</v>
      </c>
      <c r="D28" s="240"/>
      <c r="E28" s="71" t="s">
        <v>139</v>
      </c>
      <c r="F28" s="87" t="s">
        <v>125</v>
      </c>
      <c r="G28" s="71" t="s">
        <v>35</v>
      </c>
      <c r="H28" s="87" t="s">
        <v>126</v>
      </c>
      <c r="I28" s="72" t="s">
        <v>140</v>
      </c>
      <c r="L28" s="150" t="s">
        <v>227</v>
      </c>
      <c r="M28" s="156">
        <f>+PPC!AE11</f>
        <v>0.15330000000000002</v>
      </c>
      <c r="N28" s="152">
        <v>0.12</v>
      </c>
      <c r="FK28" s="32">
        <v>24</v>
      </c>
      <c r="FL28" s="41"/>
      <c r="FM28" s="41"/>
      <c r="FN28" s="41">
        <v>2.7692307692307692</v>
      </c>
      <c r="FO28" s="41">
        <v>11.971781827661964</v>
      </c>
      <c r="FP28" s="41">
        <v>13.502631578947369</v>
      </c>
      <c r="FQ28" s="41">
        <v>0.46153850000000007</v>
      </c>
      <c r="FR28" s="41"/>
      <c r="FS28" s="41"/>
    </row>
    <row r="29" spans="1:175">
      <c r="A29" s="32" t="s">
        <v>30</v>
      </c>
      <c r="B29" s="40">
        <f>+B27*0.23</f>
        <v>0</v>
      </c>
      <c r="D29" s="85">
        <v>320</v>
      </c>
      <c r="E29" s="74">
        <f>+D29*0.78*0.85</f>
        <v>212.16000000000003</v>
      </c>
      <c r="F29" s="71"/>
      <c r="G29" s="74">
        <f>+E29*G27/E27</f>
        <v>282.88000000000005</v>
      </c>
      <c r="H29" s="71"/>
      <c r="I29" s="75"/>
      <c r="L29" s="150" t="s">
        <v>100</v>
      </c>
      <c r="M29" s="156">
        <f>+PPC!AF11</f>
        <v>3.6580000000000008E-2</v>
      </c>
      <c r="N29" s="152">
        <v>0.04</v>
      </c>
      <c r="FK29" s="32">
        <v>25</v>
      </c>
      <c r="FL29" s="41"/>
      <c r="FM29" s="41"/>
      <c r="FN29" s="41">
        <v>2.4615384615384617</v>
      </c>
      <c r="FO29" s="41">
        <v>11.904950155801899</v>
      </c>
      <c r="FP29" s="41">
        <v>13.431578947368422</v>
      </c>
      <c r="FQ29" s="41">
        <v>0.15384620000000027</v>
      </c>
      <c r="FR29" s="41"/>
      <c r="FS29" s="41"/>
    </row>
    <row r="30" spans="1:175" ht="14.4" thickBot="1">
      <c r="A30" s="32" t="s">
        <v>31</v>
      </c>
      <c r="B30" s="40">
        <f>+B27*0.05+B26*0.05</f>
        <v>35</v>
      </c>
      <c r="D30" s="76"/>
      <c r="E30" s="77"/>
      <c r="F30" s="77"/>
      <c r="G30" s="78">
        <f>+G29/1.4284</f>
        <v>198.03976477177267</v>
      </c>
      <c r="H30" s="77"/>
      <c r="I30" s="79"/>
      <c r="L30" s="150" t="s">
        <v>228</v>
      </c>
      <c r="M30" s="156">
        <f>+PPC!AG11</f>
        <v>0.28472000000000003</v>
      </c>
      <c r="N30" s="152">
        <f>+PPC!AH11</f>
        <v>0.15188000000000001</v>
      </c>
      <c r="FK30" s="32">
        <v>26</v>
      </c>
      <c r="FL30" s="41"/>
      <c r="FM30" s="41"/>
      <c r="FN30" s="41">
        <v>2.1538461538461537</v>
      </c>
      <c r="FO30" s="41">
        <v>11.838118483941836</v>
      </c>
      <c r="FP30" s="41">
        <v>13.360526315789473</v>
      </c>
      <c r="FQ30" s="41"/>
      <c r="FR30" s="41"/>
      <c r="FS30" s="41"/>
    </row>
    <row r="31" spans="1:175" ht="14.4" thickBot="1">
      <c r="B31" s="51">
        <f>SUM(B28:B30)</f>
        <v>616</v>
      </c>
      <c r="L31" s="150" t="s">
        <v>229</v>
      </c>
      <c r="M31" s="156">
        <f>+PPC!AH11</f>
        <v>0.15188000000000001</v>
      </c>
      <c r="N31" s="152">
        <f>+PPC!AI11</f>
        <v>3.2259999999999997E-2</v>
      </c>
      <c r="FK31" s="32">
        <v>27</v>
      </c>
      <c r="FL31" s="41"/>
      <c r="FM31" s="41"/>
      <c r="FN31" s="41">
        <v>1.8461538461538463</v>
      </c>
      <c r="FO31" s="41">
        <v>11.771286812081772</v>
      </c>
      <c r="FP31" s="41">
        <v>13.289473684210526</v>
      </c>
      <c r="FQ31" s="41"/>
      <c r="FR31" s="41"/>
      <c r="FS31" s="41"/>
    </row>
    <row r="32" spans="1:175">
      <c r="A32" s="52" t="s">
        <v>36</v>
      </c>
      <c r="B32" s="68">
        <v>0</v>
      </c>
      <c r="D32" s="80" t="s">
        <v>239</v>
      </c>
      <c r="E32" s="69">
        <v>16</v>
      </c>
      <c r="F32" s="69"/>
      <c r="G32" s="69">
        <v>64</v>
      </c>
      <c r="H32" s="69"/>
      <c r="I32" s="70">
        <v>44</v>
      </c>
      <c r="L32" s="153" t="s">
        <v>230</v>
      </c>
      <c r="M32" s="157">
        <f>+PPC!AI11</f>
        <v>3.2259999999999997E-2</v>
      </c>
      <c r="N32" s="154">
        <f>+PPC!AJ11</f>
        <v>0</v>
      </c>
      <c r="FK32" s="32">
        <v>28</v>
      </c>
      <c r="FL32" s="41"/>
      <c r="FM32" s="41"/>
      <c r="FN32" s="41">
        <v>1.5384615384615383</v>
      </c>
      <c r="FO32" s="41">
        <v>11.704455140221709</v>
      </c>
      <c r="FP32" s="41">
        <v>13.218421052631578</v>
      </c>
      <c r="FQ32" s="41"/>
      <c r="FR32" s="41"/>
      <c r="FS32" s="41"/>
    </row>
    <row r="33" spans="1:175">
      <c r="A33" s="52" t="s">
        <v>121</v>
      </c>
      <c r="B33" s="68">
        <v>200</v>
      </c>
      <c r="D33" s="73" t="s">
        <v>240</v>
      </c>
      <c r="E33" s="71" t="s">
        <v>241</v>
      </c>
      <c r="F33" s="87" t="s">
        <v>125</v>
      </c>
      <c r="G33" s="71" t="s">
        <v>242</v>
      </c>
      <c r="H33" s="87" t="s">
        <v>126</v>
      </c>
      <c r="I33" s="72" t="s">
        <v>236</v>
      </c>
      <c r="U33" s="32" t="s">
        <v>29</v>
      </c>
      <c r="V33" s="37">
        <f>+M2/($M$2+$M$3+$M$7)</f>
        <v>0.37560127562714718</v>
      </c>
      <c r="FK33" s="32">
        <v>29</v>
      </c>
      <c r="FL33" s="41"/>
      <c r="FM33" s="41"/>
      <c r="FN33" s="41">
        <v>1.2307692307692308</v>
      </c>
      <c r="FO33" s="41">
        <v>11.637623468361646</v>
      </c>
      <c r="FP33" s="41">
        <v>13.147368421052631</v>
      </c>
      <c r="FQ33" s="41"/>
      <c r="FR33" s="41"/>
      <c r="FS33" s="41"/>
    </row>
    <row r="34" spans="1:175">
      <c r="A34" s="32" t="s">
        <v>30</v>
      </c>
      <c r="B34" s="40">
        <f>+B32*0.8*0.75+B33*0.6</f>
        <v>120</v>
      </c>
      <c r="D34" s="85">
        <v>147</v>
      </c>
      <c r="E34" s="74">
        <f>+D34*0.98</f>
        <v>144.06</v>
      </c>
      <c r="F34" s="71"/>
      <c r="G34" s="74">
        <f>+E34*G32/E32</f>
        <v>576.24</v>
      </c>
      <c r="H34" s="71"/>
      <c r="I34" s="75"/>
      <c r="U34" s="32" t="s">
        <v>35</v>
      </c>
      <c r="V34" s="37">
        <f>+M7/($M$2+$M$3+$M$7)</f>
        <v>0.40024477083513249</v>
      </c>
      <c r="FK34" s="32">
        <v>30</v>
      </c>
      <c r="FL34" s="41"/>
      <c r="FM34" s="41"/>
      <c r="FN34" s="41">
        <v>0.92307692307692291</v>
      </c>
      <c r="FO34" s="41">
        <v>11.570791796501583</v>
      </c>
      <c r="FP34" s="41">
        <v>13.076315789473684</v>
      </c>
      <c r="FQ34" s="41"/>
      <c r="FR34" s="41"/>
      <c r="FS34" s="41"/>
    </row>
    <row r="35" spans="1:175" ht="14.4" thickBot="1">
      <c r="A35" s="32" t="s">
        <v>29</v>
      </c>
      <c r="B35" s="40">
        <f>+B32*0.06</f>
        <v>0</v>
      </c>
      <c r="D35" s="76"/>
      <c r="E35" s="77"/>
      <c r="F35" s="77"/>
      <c r="G35" s="78">
        <f>+G34/1.4284</f>
        <v>403.41640996919637</v>
      </c>
      <c r="H35" s="77"/>
      <c r="I35" s="142">
        <f>+G35*I32/G32</f>
        <v>277.34878185382252</v>
      </c>
      <c r="U35" s="32" t="s">
        <v>31</v>
      </c>
      <c r="V35" s="37">
        <f>+M3/($M$2+$M$3+$M$7)</f>
        <v>0.22415395353772036</v>
      </c>
      <c r="FK35" s="32">
        <v>31</v>
      </c>
      <c r="FL35" s="41"/>
      <c r="FM35" s="41"/>
      <c r="FN35" s="41">
        <v>0.61538461538461542</v>
      </c>
      <c r="FO35" s="41">
        <v>11.50396012464152</v>
      </c>
      <c r="FP35" s="41">
        <v>13.005263157894737</v>
      </c>
      <c r="FQ35" s="41"/>
      <c r="FR35" s="41"/>
      <c r="FS35" s="41"/>
    </row>
    <row r="36" spans="1:175" ht="14.4" thickBot="1">
      <c r="B36" s="51">
        <f>+B32-B34-B35</f>
        <v>-120</v>
      </c>
      <c r="U36" s="53" t="s">
        <v>63</v>
      </c>
      <c r="V36" s="54">
        <v>0.15</v>
      </c>
      <c r="FK36" s="32">
        <v>32</v>
      </c>
      <c r="FL36" s="41"/>
      <c r="FM36" s="41"/>
      <c r="FN36" s="41">
        <v>0.30769230769230749</v>
      </c>
      <c r="FO36" s="41">
        <v>11.437128452781456</v>
      </c>
      <c r="FP36" s="41">
        <v>12.934210526315789</v>
      </c>
      <c r="FQ36" s="41"/>
      <c r="FR36" s="41"/>
      <c r="FS36" s="41"/>
    </row>
    <row r="37" spans="1:175">
      <c r="A37" s="52" t="s">
        <v>122</v>
      </c>
      <c r="B37" s="67">
        <f>+PPC!AB11%*'Horno Eléctrico'!B13*1000</f>
        <v>180.54000000000002</v>
      </c>
      <c r="D37" s="80"/>
      <c r="E37" s="69">
        <v>62</v>
      </c>
      <c r="F37" s="69"/>
      <c r="G37" s="69">
        <v>80</v>
      </c>
      <c r="H37" s="69"/>
      <c r="I37" s="70">
        <v>142</v>
      </c>
      <c r="V37" s="42"/>
      <c r="FK37" s="32">
        <v>33</v>
      </c>
      <c r="FL37" s="41"/>
      <c r="FM37" s="41"/>
      <c r="FN37" s="41">
        <v>0</v>
      </c>
      <c r="FO37" s="41">
        <v>11.370296780921393</v>
      </c>
      <c r="FP37" s="41">
        <v>12.863157894736842</v>
      </c>
      <c r="FQ37" s="41"/>
      <c r="FR37" s="41"/>
      <c r="FS37" s="41"/>
    </row>
    <row r="38" spans="1:175">
      <c r="A38" s="33" t="s">
        <v>123</v>
      </c>
      <c r="B38" s="67">
        <f>+I44</f>
        <v>172.75461818181819</v>
      </c>
      <c r="D38" s="82" t="s">
        <v>133</v>
      </c>
      <c r="E38" s="71" t="s">
        <v>131</v>
      </c>
      <c r="F38" s="87" t="s">
        <v>125</v>
      </c>
      <c r="G38" s="71" t="s">
        <v>134</v>
      </c>
      <c r="H38" s="87" t="s">
        <v>126</v>
      </c>
      <c r="I38" s="72" t="s">
        <v>102</v>
      </c>
      <c r="L38" s="35"/>
      <c r="FK38" s="32">
        <v>34</v>
      </c>
      <c r="FL38" s="41"/>
      <c r="FM38" s="41"/>
      <c r="FN38" s="41"/>
      <c r="FO38" s="41">
        <v>11.30346510906133</v>
      </c>
      <c r="FP38" s="41">
        <v>12.792105263157895</v>
      </c>
      <c r="FQ38" s="41"/>
      <c r="FR38" s="41"/>
      <c r="FS38" s="41"/>
    </row>
    <row r="39" spans="1:175">
      <c r="A39" s="88" t="s">
        <v>128</v>
      </c>
      <c r="B39" s="90">
        <f>+B13*0.07%*1000</f>
        <v>23.1</v>
      </c>
      <c r="C39" s="99">
        <f>+B39/R2/1000</f>
        <v>7.6650900401093467E-4</v>
      </c>
      <c r="D39" s="82"/>
      <c r="E39" s="74">
        <f>+B14*1000*(M27-N27)%</f>
        <v>2.4485999999999999</v>
      </c>
      <c r="F39" s="71"/>
      <c r="G39" s="74">
        <f>+E39*0.6/E37*G37</f>
        <v>1.895690322580645</v>
      </c>
      <c r="H39" s="71"/>
      <c r="I39" s="75">
        <f>+G39/G37*I37</f>
        <v>3.3648503225806445</v>
      </c>
      <c r="L39" s="35"/>
      <c r="FK39" s="32">
        <v>35</v>
      </c>
      <c r="FL39" s="41"/>
      <c r="FM39" s="41"/>
      <c r="FN39" s="41"/>
      <c r="FO39" s="41">
        <v>11.236633437201267</v>
      </c>
      <c r="FP39" s="41">
        <v>12.721052631578948</v>
      </c>
      <c r="FQ39" s="41"/>
      <c r="FR39" s="41"/>
      <c r="FS39" s="41"/>
    </row>
    <row r="40" spans="1:175" ht="14.4" thickBot="1">
      <c r="A40" s="89" t="s">
        <v>137</v>
      </c>
      <c r="B40" s="90">
        <f>+B22+((D24+D29)*0.008)</f>
        <v>4.96</v>
      </c>
      <c r="C40" s="99">
        <f>+B40/R2/1000</f>
        <v>1.6458375151057298E-4</v>
      </c>
      <c r="D40" s="76"/>
      <c r="E40" s="77"/>
      <c r="F40" s="77"/>
      <c r="G40" s="78">
        <f>+G39/1.4284</f>
        <v>1.3271424829044001</v>
      </c>
      <c r="H40" s="77"/>
      <c r="I40" s="79"/>
      <c r="FK40" s="32">
        <v>36</v>
      </c>
      <c r="FL40" s="41"/>
      <c r="FM40" s="41"/>
      <c r="FN40" s="41"/>
      <c r="FO40" s="41">
        <v>11.169801765341203</v>
      </c>
      <c r="FP40" s="41">
        <v>12.65</v>
      </c>
      <c r="FQ40" s="41"/>
      <c r="FR40" s="41"/>
      <c r="FS40" s="41"/>
    </row>
    <row r="41" spans="1:175" ht="14.4" thickBot="1">
      <c r="A41" s="89" t="s">
        <v>129</v>
      </c>
      <c r="B41" s="90">
        <f>+E39*0.4</f>
        <v>0.97943999999999998</v>
      </c>
      <c r="C41" s="99">
        <f>+B41/R2/1000</f>
        <v>3.2499981770063631E-5</v>
      </c>
      <c r="FK41" s="32">
        <v>37</v>
      </c>
      <c r="FL41" s="41"/>
      <c r="FM41" s="41"/>
      <c r="FN41" s="41"/>
      <c r="FO41" s="41">
        <v>11.10297009348114</v>
      </c>
      <c r="FP41" s="41">
        <v>12.578947368421053</v>
      </c>
      <c r="FQ41" s="41"/>
      <c r="FR41" s="41"/>
      <c r="FS41" s="41"/>
    </row>
    <row r="42" spans="1:175">
      <c r="D42" s="80"/>
      <c r="E42" s="69">
        <v>55</v>
      </c>
      <c r="F42" s="69"/>
      <c r="G42" s="69">
        <v>16</v>
      </c>
      <c r="H42" s="69"/>
      <c r="I42" s="70">
        <v>71</v>
      </c>
      <c r="FK42" s="32">
        <v>38</v>
      </c>
      <c r="FL42" s="41"/>
      <c r="FM42" s="41"/>
      <c r="FN42" s="41"/>
      <c r="FO42" s="41">
        <v>11.036138421621077</v>
      </c>
      <c r="FP42" s="41">
        <v>12.507894736842106</v>
      </c>
      <c r="FQ42" s="41"/>
      <c r="FR42" s="41"/>
      <c r="FS42" s="41"/>
    </row>
    <row r="43" spans="1:175">
      <c r="D43" s="82" t="s">
        <v>130</v>
      </c>
      <c r="E43" s="71" t="s">
        <v>74</v>
      </c>
      <c r="F43" s="87" t="s">
        <v>125</v>
      </c>
      <c r="G43" s="71" t="s">
        <v>75</v>
      </c>
      <c r="H43" s="87" t="s">
        <v>126</v>
      </c>
      <c r="I43" s="72" t="s">
        <v>34</v>
      </c>
      <c r="FK43" s="32">
        <v>39</v>
      </c>
      <c r="FL43" s="41"/>
      <c r="FM43" s="41"/>
      <c r="FN43" s="41"/>
      <c r="FO43" s="41">
        <v>10.969306749761014</v>
      </c>
      <c r="FP43" s="41">
        <v>12.436842105263159</v>
      </c>
      <c r="FQ43" s="41"/>
      <c r="FR43" s="41"/>
      <c r="FS43" s="41"/>
    </row>
    <row r="44" spans="1:175">
      <c r="D44" s="82"/>
      <c r="E44" s="74">
        <f>+B37-B39</f>
        <v>157.44000000000003</v>
      </c>
      <c r="F44" s="71"/>
      <c r="G44" s="74">
        <f>+E44*0.85/E42*G42</f>
        <v>38.930618181818183</v>
      </c>
      <c r="H44" s="71"/>
      <c r="I44" s="75">
        <f>+G44/G42*I42</f>
        <v>172.75461818181819</v>
      </c>
      <c r="FK44" s="32">
        <v>40</v>
      </c>
      <c r="FL44" s="41"/>
      <c r="FM44" s="41"/>
      <c r="FN44" s="41"/>
      <c r="FO44" s="41">
        <v>10.90247507790095</v>
      </c>
      <c r="FP44" s="41">
        <v>12.36578947368421</v>
      </c>
      <c r="FQ44" s="41"/>
      <c r="FR44" s="41"/>
      <c r="FS44" s="41"/>
    </row>
    <row r="45" spans="1:175" ht="14.4" thickBot="1">
      <c r="D45" s="76"/>
      <c r="E45" s="77"/>
      <c r="F45" s="77"/>
      <c r="G45" s="78">
        <f>+G44/1.4284</f>
        <v>27.254703291667731</v>
      </c>
      <c r="H45" s="77"/>
      <c r="I45" s="79"/>
      <c r="FK45" s="32">
        <v>41</v>
      </c>
      <c r="FL45" s="41"/>
      <c r="FM45" s="41"/>
      <c r="FN45" s="41"/>
      <c r="FO45" s="41">
        <v>10.835643406040887</v>
      </c>
      <c r="FP45" s="41">
        <v>12.294736842105262</v>
      </c>
      <c r="FQ45" s="41"/>
      <c r="FR45" s="41"/>
      <c r="FS45" s="41"/>
    </row>
    <row r="46" spans="1:175" ht="14.4" thickBot="1">
      <c r="D46" s="71"/>
      <c r="E46" s="71"/>
      <c r="F46" s="71"/>
      <c r="G46" s="91"/>
      <c r="H46" s="71"/>
      <c r="I46" s="71"/>
      <c r="FK46" s="32">
        <v>42</v>
      </c>
      <c r="FL46" s="41"/>
      <c r="FM46" s="41"/>
      <c r="FN46" s="41"/>
      <c r="FO46" s="41">
        <v>10.768811734180824</v>
      </c>
      <c r="FP46" s="41">
        <v>12.223684210526315</v>
      </c>
      <c r="FQ46" s="41"/>
      <c r="FR46" s="41"/>
      <c r="FS46" s="41"/>
    </row>
    <row r="47" spans="1:175">
      <c r="D47" s="80"/>
      <c r="E47" s="69">
        <v>28</v>
      </c>
      <c r="F47" s="69"/>
      <c r="G47" s="69">
        <v>32</v>
      </c>
      <c r="H47" s="69"/>
      <c r="I47" s="70">
        <f>+E47+G47</f>
        <v>60</v>
      </c>
      <c r="FK47" s="32">
        <v>43</v>
      </c>
      <c r="FL47" s="41"/>
      <c r="FM47" s="41"/>
      <c r="FN47" s="41"/>
      <c r="FO47" s="41">
        <v>10.701980062320761</v>
      </c>
      <c r="FP47" s="41">
        <v>12.152631578947368</v>
      </c>
      <c r="FQ47" s="41"/>
      <c r="FR47" s="41"/>
      <c r="FS47" s="41"/>
    </row>
    <row r="48" spans="1:175">
      <c r="D48" s="82" t="s">
        <v>135</v>
      </c>
      <c r="E48" s="71" t="s">
        <v>136</v>
      </c>
      <c r="F48" s="87" t="s">
        <v>125</v>
      </c>
      <c r="G48" s="71" t="s">
        <v>132</v>
      </c>
      <c r="H48" s="87" t="s">
        <v>126</v>
      </c>
      <c r="I48" s="72" t="s">
        <v>31</v>
      </c>
      <c r="FK48" s="32">
        <v>44</v>
      </c>
      <c r="FL48" s="41"/>
      <c r="FM48" s="41"/>
      <c r="FN48" s="41"/>
      <c r="FO48" s="41">
        <v>10.635148390460696</v>
      </c>
      <c r="FP48" s="41">
        <v>12.081578947368421</v>
      </c>
      <c r="FQ48" s="41"/>
      <c r="FR48" s="41"/>
      <c r="FS48" s="41"/>
    </row>
    <row r="49" spans="2:176">
      <c r="D49" s="82"/>
      <c r="E49" s="74">
        <f>(B14-B11)*1000*0.12%+B11*0.15%*1000</f>
        <v>39.599999999999994</v>
      </c>
      <c r="F49" s="71"/>
      <c r="G49" s="74">
        <f>+E49*0.85/E47*G47</f>
        <v>38.468571428571423</v>
      </c>
      <c r="H49" s="71"/>
      <c r="I49" s="75">
        <f>+G49/G47*I47</f>
        <v>72.128571428571419</v>
      </c>
      <c r="FK49" s="32">
        <v>45</v>
      </c>
      <c r="FL49" s="41"/>
      <c r="FM49" s="41"/>
      <c r="FN49" s="41"/>
      <c r="FO49" s="41">
        <v>10.568316718600634</v>
      </c>
      <c r="FP49" s="41">
        <v>12.010526315789473</v>
      </c>
      <c r="FQ49" s="41"/>
      <c r="FR49" s="41"/>
      <c r="FS49" s="41"/>
    </row>
    <row r="50" spans="2:176" ht="14.4" thickBot="1">
      <c r="D50" s="76"/>
      <c r="E50" s="77"/>
      <c r="F50" s="77"/>
      <c r="G50" s="78">
        <f>+G49/1.4284</f>
        <v>26.931231747809736</v>
      </c>
      <c r="H50" s="77"/>
      <c r="I50" s="79"/>
      <c r="FK50" s="32">
        <v>46</v>
      </c>
      <c r="FL50" s="41"/>
      <c r="FM50" s="41"/>
      <c r="FN50" s="41"/>
      <c r="FO50" s="41">
        <v>10.501485046740569</v>
      </c>
      <c r="FP50" s="41">
        <v>11.939473684210526</v>
      </c>
      <c r="FQ50" s="41"/>
      <c r="FR50" s="41"/>
      <c r="FS50" s="41"/>
    </row>
    <row r="51" spans="2:176" ht="14.4" thickBot="1">
      <c r="D51" s="71"/>
      <c r="E51" s="71"/>
      <c r="F51" s="71"/>
      <c r="G51" s="91"/>
      <c r="H51" s="71"/>
      <c r="I51" s="71"/>
      <c r="FK51" s="32">
        <v>47</v>
      </c>
      <c r="FL51" s="41"/>
      <c r="FM51" s="41"/>
      <c r="FN51" s="41"/>
      <c r="FO51" s="41">
        <v>10.434653374880506</v>
      </c>
      <c r="FP51" s="41">
        <v>11.868421052631579</v>
      </c>
      <c r="FQ51" s="41"/>
      <c r="FR51" s="41"/>
      <c r="FS51" s="41"/>
    </row>
    <row r="52" spans="2:176">
      <c r="D52" s="80"/>
      <c r="E52" s="69">
        <f>2*27</f>
        <v>54</v>
      </c>
      <c r="F52" s="69"/>
      <c r="G52" s="69">
        <f>16*3</f>
        <v>48</v>
      </c>
      <c r="H52" s="69"/>
      <c r="I52" s="70">
        <f>+E52+G52</f>
        <v>102</v>
      </c>
      <c r="FK52" s="32">
        <v>48</v>
      </c>
      <c r="FL52" s="41"/>
      <c r="FM52" s="41"/>
      <c r="FN52" s="41"/>
      <c r="FO52" s="41">
        <v>10.367821703020443</v>
      </c>
      <c r="FP52" s="41">
        <v>11.797368421052632</v>
      </c>
      <c r="FQ52" s="41"/>
      <c r="FR52" s="41"/>
      <c r="FS52" s="41"/>
    </row>
    <row r="53" spans="2:176">
      <c r="D53" s="82" t="s">
        <v>160</v>
      </c>
      <c r="E53" s="71" t="s">
        <v>161</v>
      </c>
      <c r="F53" s="87" t="s">
        <v>125</v>
      </c>
      <c r="G53" s="71" t="s">
        <v>162</v>
      </c>
      <c r="H53" s="87" t="s">
        <v>126</v>
      </c>
      <c r="I53" s="72" t="s">
        <v>33</v>
      </c>
      <c r="FK53" s="32">
        <v>49</v>
      </c>
      <c r="FL53" s="41"/>
      <c r="FM53" s="41"/>
      <c r="FN53" s="41"/>
      <c r="FO53" s="41">
        <v>10.30099003116038</v>
      </c>
      <c r="FP53" s="41">
        <v>11.726315789473684</v>
      </c>
      <c r="FQ53" s="41"/>
      <c r="FR53" s="41"/>
      <c r="FS53" s="41"/>
    </row>
    <row r="54" spans="2:176">
      <c r="D54" s="82"/>
      <c r="E54" s="74">
        <f>+B13*1000*0.1%</f>
        <v>33</v>
      </c>
      <c r="F54" s="71"/>
      <c r="G54" s="74">
        <f>+E54*0.85/E52*G52</f>
        <v>24.933333333333337</v>
      </c>
      <c r="H54" s="71"/>
      <c r="I54" s="75">
        <f>+G54/G52*I52</f>
        <v>52.983333333333334</v>
      </c>
      <c r="FK54" s="32">
        <v>50</v>
      </c>
      <c r="FL54" s="41"/>
      <c r="FM54" s="41"/>
      <c r="FN54" s="41"/>
      <c r="FO54" s="41">
        <v>10.234158359300316</v>
      </c>
      <c r="FP54" s="41">
        <v>11.655263157894737</v>
      </c>
      <c r="FQ54" s="41"/>
      <c r="FR54" s="41"/>
      <c r="FS54" s="41"/>
    </row>
    <row r="55" spans="2:176" ht="14.4" thickBot="1">
      <c r="D55" s="76"/>
      <c r="E55" s="77"/>
      <c r="F55" s="77"/>
      <c r="G55" s="78">
        <f>+G54/1.4284</f>
        <v>17.4554279846915</v>
      </c>
      <c r="H55" s="77"/>
      <c r="I55" s="79"/>
      <c r="FK55" s="32">
        <v>51</v>
      </c>
      <c r="FL55" s="41"/>
      <c r="FM55" s="41"/>
      <c r="FN55" s="41"/>
      <c r="FO55" s="41">
        <v>10.167326687440253</v>
      </c>
      <c r="FP55" s="41">
        <v>11.58421052631579</v>
      </c>
      <c r="FQ55" s="41"/>
      <c r="FR55" s="41"/>
      <c r="FS55" s="41"/>
    </row>
    <row r="56" spans="2:176">
      <c r="D56" s="71"/>
      <c r="E56" s="71"/>
      <c r="F56" s="71"/>
      <c r="G56" s="91"/>
      <c r="H56" s="71"/>
      <c r="I56" s="71"/>
      <c r="FK56" s="32">
        <v>52</v>
      </c>
      <c r="FL56" s="41"/>
      <c r="FM56" s="41"/>
      <c r="FN56" s="41"/>
      <c r="FO56" s="41">
        <v>10.10049501558019</v>
      </c>
      <c r="FP56" s="41">
        <v>11.513157894736842</v>
      </c>
      <c r="FQ56" s="41"/>
      <c r="FR56" s="41"/>
      <c r="FS56" s="41"/>
    </row>
    <row r="57" spans="2:176">
      <c r="D57" s="71"/>
      <c r="E57" s="71"/>
      <c r="F57" s="71"/>
      <c r="G57" s="91"/>
      <c r="H57" s="71"/>
      <c r="I57" s="71"/>
      <c r="FK57" s="32">
        <v>53</v>
      </c>
      <c r="FL57" s="41"/>
      <c r="FM57" s="41"/>
      <c r="FN57" s="41"/>
      <c r="FO57" s="41">
        <v>10.033663343720127</v>
      </c>
      <c r="FP57" s="41">
        <v>11.442105263157895</v>
      </c>
      <c r="FQ57" s="41"/>
      <c r="FR57" s="41"/>
      <c r="FS57" s="41"/>
    </row>
    <row r="58" spans="2:176">
      <c r="D58" s="71"/>
      <c r="E58" s="71"/>
      <c r="F58" s="71"/>
      <c r="G58" s="91"/>
      <c r="H58" s="71"/>
      <c r="I58" s="71"/>
      <c r="FK58" s="32">
        <v>54</v>
      </c>
      <c r="FL58" s="41"/>
      <c r="FM58" s="41"/>
      <c r="FN58" s="41"/>
      <c r="FO58" s="41">
        <v>9.9668316718600636</v>
      </c>
      <c r="FP58" s="41">
        <v>11.371052631578948</v>
      </c>
      <c r="FQ58" s="41"/>
      <c r="FR58" s="41"/>
      <c r="FS58" s="41"/>
    </row>
    <row r="59" spans="2:176">
      <c r="D59" s="71"/>
      <c r="E59" s="71"/>
      <c r="F59" s="71"/>
      <c r="G59" s="91"/>
      <c r="H59" s="71"/>
      <c r="I59" s="71"/>
      <c r="FK59" s="32">
        <v>55</v>
      </c>
      <c r="FL59" s="41"/>
      <c r="FM59" s="41"/>
      <c r="FN59" s="41"/>
      <c r="FO59" s="41">
        <v>9.9</v>
      </c>
      <c r="FP59" s="41">
        <v>11.3</v>
      </c>
      <c r="FQ59" s="41"/>
      <c r="FR59" s="41"/>
      <c r="FS59" s="41"/>
    </row>
    <row r="60" spans="2:176">
      <c r="D60" s="71"/>
      <c r="E60" s="71"/>
      <c r="F60" s="71"/>
      <c r="G60" s="91"/>
      <c r="H60" s="71"/>
      <c r="I60" s="71"/>
      <c r="FK60" s="36">
        <f>+O7*100</f>
        <v>28.971369880042769</v>
      </c>
      <c r="FT60" s="36">
        <f>+O5*100</f>
        <v>5.5694692051696721</v>
      </c>
    </row>
    <row r="63" spans="2:176">
      <c r="B63" s="40"/>
    </row>
    <row r="64" spans="2:176">
      <c r="B64" s="40"/>
    </row>
    <row r="65" spans="1:12">
      <c r="B65" s="40"/>
    </row>
    <row r="66" spans="1:12">
      <c r="A66" s="32" t="s">
        <v>0</v>
      </c>
      <c r="B66" s="32" t="s">
        <v>1</v>
      </c>
      <c r="C66" s="32" t="s">
        <v>149</v>
      </c>
      <c r="D66" s="32" t="s">
        <v>29</v>
      </c>
      <c r="E66" s="32" t="s">
        <v>30</v>
      </c>
      <c r="F66" s="32" t="s">
        <v>33</v>
      </c>
      <c r="G66" s="32" t="s">
        <v>31</v>
      </c>
      <c r="H66" s="32" t="s">
        <v>34</v>
      </c>
      <c r="I66" s="32" t="s">
        <v>102</v>
      </c>
      <c r="J66" s="32" t="s">
        <v>35</v>
      </c>
      <c r="K66" s="32" t="s">
        <v>100</v>
      </c>
      <c r="L66" s="32" t="s">
        <v>156</v>
      </c>
    </row>
    <row r="67" spans="1:12">
      <c r="A67" s="35" t="s">
        <v>10</v>
      </c>
      <c r="B67" s="36">
        <f>+D2*1000</f>
        <v>897.60000000000059</v>
      </c>
      <c r="C67" s="36">
        <f>+B67*F84%</f>
        <v>251.3280000000002</v>
      </c>
      <c r="D67" s="36">
        <f>+B67*F85%</f>
        <v>92.183520000000058</v>
      </c>
      <c r="E67" s="36">
        <f>+B67*F86%</f>
        <v>17.413440000000012</v>
      </c>
      <c r="F67" s="36">
        <f>+B67*F87%</f>
        <v>32.04432000000002</v>
      </c>
      <c r="G67" s="36">
        <f>+B67*F88%</f>
        <v>109.77648000000008</v>
      </c>
      <c r="H67" s="36">
        <f>+B67*F89%</f>
        <v>7.8988800000000055</v>
      </c>
      <c r="I67" s="36">
        <f>+B67*F90%</f>
        <v>4.398240000000003</v>
      </c>
      <c r="J67" s="36">
        <f>+B67*F91%</f>
        <v>179.52000000000012</v>
      </c>
      <c r="K67" s="36">
        <f>+B67*F92%</f>
        <v>0</v>
      </c>
      <c r="L67" s="36">
        <f>+C67*F93%</f>
        <v>0</v>
      </c>
    </row>
    <row r="68" spans="1:12">
      <c r="A68" s="35" t="s">
        <v>76</v>
      </c>
      <c r="B68" s="36">
        <f>+D3*1000</f>
        <v>86.130000000000265</v>
      </c>
      <c r="C68" s="36">
        <f>+B68*D84%</f>
        <v>24.116400000000077</v>
      </c>
      <c r="D68" s="36">
        <f>+B68*D85%</f>
        <v>8.845551000000027</v>
      </c>
      <c r="E68" s="36">
        <f>+B68*D86%</f>
        <v>1.6709220000000051</v>
      </c>
      <c r="F68" s="36">
        <f>+B68*D87%</f>
        <v>3.074841000000009</v>
      </c>
      <c r="G68" s="36">
        <f>+B68*D88%</f>
        <v>10.533699000000032</v>
      </c>
      <c r="H68" s="36">
        <f>+B68*D89%</f>
        <v>0.75794400000000239</v>
      </c>
      <c r="I68" s="36">
        <f>+B68*D90%</f>
        <v>0.42203700000000127</v>
      </c>
      <c r="J68" s="36">
        <f>+B68*D91%</f>
        <v>17.226000000000052</v>
      </c>
      <c r="K68" s="36">
        <f>+B68*D92%</f>
        <v>0</v>
      </c>
      <c r="L68" s="36">
        <f>+C68*D93%</f>
        <v>0</v>
      </c>
    </row>
    <row r="69" spans="1:12">
      <c r="A69" s="35" t="s">
        <v>9</v>
      </c>
      <c r="B69" s="36">
        <f>+D4*1000</f>
        <v>1690.9200000000003</v>
      </c>
      <c r="C69" s="36">
        <f>+B69*C84%</f>
        <v>473.45760000000013</v>
      </c>
      <c r="D69" s="36">
        <f>+B69*C85%</f>
        <v>173.65748400000004</v>
      </c>
      <c r="E69" s="36">
        <f>+B69*C86%</f>
        <v>32.803848000000009</v>
      </c>
      <c r="F69" s="36">
        <f>+B69*C87%</f>
        <v>60.365844000000003</v>
      </c>
      <c r="G69" s="36">
        <f>+B69*C88%</f>
        <v>206.79951600000004</v>
      </c>
      <c r="H69" s="36">
        <f>+B69*C89%</f>
        <v>14.880096000000004</v>
      </c>
      <c r="I69" s="36">
        <f>+B69*C90%</f>
        <v>8.2855080000000019</v>
      </c>
      <c r="J69" s="36">
        <f>+B69*C91%</f>
        <v>338.18400000000008</v>
      </c>
      <c r="K69" s="36">
        <f>+B69*C92%</f>
        <v>0</v>
      </c>
      <c r="L69" s="36">
        <f>+C69*C93%</f>
        <v>0</v>
      </c>
    </row>
    <row r="70" spans="1:12">
      <c r="A70" s="35" t="s">
        <v>13</v>
      </c>
      <c r="B70" s="36">
        <f t="shared" ref="B70:B77" si="5">+D5*1000</f>
        <v>0</v>
      </c>
      <c r="C70" s="36">
        <f>+B70*D84%</f>
        <v>0</v>
      </c>
      <c r="D70" s="36">
        <f>+B70*D85%</f>
        <v>0</v>
      </c>
      <c r="E70" s="36">
        <f>+B70*D86%</f>
        <v>0</v>
      </c>
      <c r="F70" s="36">
        <f>+B70*D87%</f>
        <v>0</v>
      </c>
      <c r="G70" s="36">
        <f>+B70*D88%</f>
        <v>0</v>
      </c>
      <c r="H70" s="36">
        <f>+B70*D89%</f>
        <v>0</v>
      </c>
      <c r="I70" s="36">
        <f>+B70*D90%</f>
        <v>0</v>
      </c>
      <c r="J70" s="36">
        <f>+B70*D91%</f>
        <v>0</v>
      </c>
      <c r="K70" s="36">
        <f>+B70*D92%</f>
        <v>0</v>
      </c>
      <c r="L70" s="36">
        <f>+C70*D93%</f>
        <v>0</v>
      </c>
    </row>
    <row r="71" spans="1:12">
      <c r="A71" s="35" t="s">
        <v>77</v>
      </c>
      <c r="B71" s="36">
        <f t="shared" si="5"/>
        <v>0</v>
      </c>
      <c r="C71" s="36">
        <f>+B71*B84%</f>
        <v>0</v>
      </c>
      <c r="D71" s="36">
        <f>+B71*B85%</f>
        <v>0</v>
      </c>
      <c r="E71" s="36">
        <f>+B71*B86%</f>
        <v>0</v>
      </c>
      <c r="F71" s="36">
        <f>+B71*B87%</f>
        <v>0</v>
      </c>
      <c r="G71" s="36">
        <f>+B71*B88%</f>
        <v>0</v>
      </c>
      <c r="H71" s="36">
        <f>+B71*B89%</f>
        <v>0</v>
      </c>
      <c r="I71" s="36">
        <f>+B71*B90%</f>
        <v>0</v>
      </c>
      <c r="J71" s="36">
        <f>+B71*B91%</f>
        <v>0</v>
      </c>
      <c r="K71" s="36">
        <f>+B71*B92%</f>
        <v>0</v>
      </c>
      <c r="L71" s="36">
        <f>+C71*B93%</f>
        <v>0</v>
      </c>
    </row>
    <row r="72" spans="1:12">
      <c r="A72" s="35" t="s">
        <v>78</v>
      </c>
      <c r="B72" s="36">
        <f t="shared" si="5"/>
        <v>340.55999999999995</v>
      </c>
      <c r="C72" s="36">
        <f>+B72*B84%</f>
        <v>0</v>
      </c>
      <c r="D72" s="36">
        <f>+B72*B85%</f>
        <v>50.777495999999992</v>
      </c>
      <c r="E72" s="36">
        <f>+B72*B86%</f>
        <v>13.179671999999997</v>
      </c>
      <c r="F72" s="36">
        <f>+B72*B87%</f>
        <v>20.94444</v>
      </c>
      <c r="G72" s="36">
        <f>+B72*B88%</f>
        <v>92.700431999999978</v>
      </c>
      <c r="H72" s="36">
        <f>+B72*B89%</f>
        <v>5.5170719999999998</v>
      </c>
      <c r="I72" s="36">
        <f>+B72*B90%</f>
        <v>0.54489599999999994</v>
      </c>
      <c r="J72" s="36">
        <f>+B72*B91%</f>
        <v>35.247959999999992</v>
      </c>
      <c r="K72" s="36">
        <f>+B72*B92%</f>
        <v>0</v>
      </c>
      <c r="L72" s="36">
        <f>+C72*B93%</f>
        <v>0</v>
      </c>
    </row>
    <row r="73" spans="1:12">
      <c r="A73" s="35" t="s">
        <v>79</v>
      </c>
      <c r="B73" s="36">
        <f t="shared" si="5"/>
        <v>0</v>
      </c>
      <c r="C73" s="36">
        <f>+B73*B84%</f>
        <v>0</v>
      </c>
      <c r="D73" s="36">
        <f>+B73*B85%</f>
        <v>0</v>
      </c>
      <c r="E73" s="36">
        <f>+B73*B86%</f>
        <v>0</v>
      </c>
      <c r="F73" s="36">
        <f>+B73*B87%</f>
        <v>0</v>
      </c>
      <c r="G73" s="36">
        <f>+B73*B88%</f>
        <v>0</v>
      </c>
      <c r="H73" s="36">
        <f>+B73*B89%</f>
        <v>0</v>
      </c>
      <c r="I73" s="36">
        <f>+B73*B90%</f>
        <v>0</v>
      </c>
      <c r="J73" s="36">
        <f>+B73*B91%</f>
        <v>0</v>
      </c>
      <c r="K73" s="36">
        <f>+B73*B92%</f>
        <v>0</v>
      </c>
      <c r="L73" s="36">
        <f>+C73*B93%</f>
        <v>0</v>
      </c>
    </row>
    <row r="74" spans="1:12">
      <c r="A74" s="35" t="s">
        <v>80</v>
      </c>
      <c r="B74" s="36">
        <f t="shared" si="5"/>
        <v>76.560000000000187</v>
      </c>
      <c r="C74" s="36">
        <f>+B74*B84%</f>
        <v>0</v>
      </c>
      <c r="D74" s="36">
        <f>+B74*B85%</f>
        <v>11.415096000000029</v>
      </c>
      <c r="E74" s="36">
        <f>+B74*B86%</f>
        <v>2.9628720000000071</v>
      </c>
      <c r="F74" s="36">
        <f>+B74*B87%</f>
        <v>4.7084400000000119</v>
      </c>
      <c r="G74" s="36">
        <f>+B74*B88%</f>
        <v>20.839632000000051</v>
      </c>
      <c r="H74" s="36">
        <f>+B74*B89%</f>
        <v>1.2402720000000031</v>
      </c>
      <c r="I74" s="36">
        <f>+B74*B90%</f>
        <v>0.1224960000000003</v>
      </c>
      <c r="J74" s="36">
        <f>+B74*B91%</f>
        <v>7.9239600000000188</v>
      </c>
      <c r="K74" s="36">
        <f>+B74*B92%</f>
        <v>0</v>
      </c>
      <c r="L74" s="36">
        <f>+C74*B93%</f>
        <v>0</v>
      </c>
    </row>
    <row r="75" spans="1:12">
      <c r="A75" s="35" t="s">
        <v>81</v>
      </c>
      <c r="B75" s="36">
        <f t="shared" si="5"/>
        <v>0</v>
      </c>
      <c r="C75" s="36">
        <f>+B75*E84%</f>
        <v>0</v>
      </c>
      <c r="D75" s="36">
        <f>+B75*E85%</f>
        <v>0</v>
      </c>
      <c r="E75" s="36">
        <f>+B75*E86%</f>
        <v>0</v>
      </c>
      <c r="F75" s="36">
        <f>+B75*E87%</f>
        <v>0</v>
      </c>
      <c r="G75" s="36">
        <f>+B75*E88%</f>
        <v>0</v>
      </c>
      <c r="H75" s="36">
        <f>+B75*E89%</f>
        <v>0</v>
      </c>
      <c r="I75" s="36">
        <f>+B75*E90%</f>
        <v>0</v>
      </c>
      <c r="J75" s="36">
        <f>+B75*E91%</f>
        <v>0</v>
      </c>
      <c r="K75" s="36">
        <f>+B75*E92%</f>
        <v>0</v>
      </c>
      <c r="L75" s="36">
        <f>+C75*E93%</f>
        <v>0</v>
      </c>
    </row>
    <row r="76" spans="1:12">
      <c r="A76" s="35" t="s">
        <v>82</v>
      </c>
      <c r="B76" s="36">
        <f>+D11*1000</f>
        <v>0</v>
      </c>
      <c r="C76" s="36">
        <f>+B76*F93%</f>
        <v>0</v>
      </c>
      <c r="D76" s="36">
        <f>+B76*F94%</f>
        <v>0</v>
      </c>
      <c r="E76" s="36">
        <f>+B76*F95%</f>
        <v>0</v>
      </c>
      <c r="F76" s="36">
        <f>+B76*F96%</f>
        <v>0</v>
      </c>
      <c r="G76" s="36">
        <f>+B76*F97%</f>
        <v>0</v>
      </c>
      <c r="H76" s="36">
        <f>+B76*F98%</f>
        <v>0</v>
      </c>
      <c r="I76" s="36">
        <f>+B76*F99%</f>
        <v>0</v>
      </c>
      <c r="J76" s="36">
        <f>+B76*F100%</f>
        <v>0</v>
      </c>
      <c r="K76" s="36">
        <f>+B76*F101%</f>
        <v>0</v>
      </c>
      <c r="L76" s="36">
        <f>+C76*G101%</f>
        <v>0</v>
      </c>
    </row>
    <row r="77" spans="1:12">
      <c r="A77" s="35" t="s">
        <v>83</v>
      </c>
      <c r="B77" s="36">
        <f t="shared" si="5"/>
        <v>0</v>
      </c>
      <c r="C77" s="36">
        <f>+B77*D84%</f>
        <v>0</v>
      </c>
      <c r="D77" s="36">
        <f>+B77*D85%</f>
        <v>0</v>
      </c>
      <c r="E77" s="36">
        <f>+B77*D86%</f>
        <v>0</v>
      </c>
      <c r="F77" s="36">
        <f>+B77*D87%</f>
        <v>0</v>
      </c>
      <c r="G77" s="36">
        <f>+B77*D88%</f>
        <v>0</v>
      </c>
      <c r="H77" s="36">
        <f>+B77*D89%</f>
        <v>0</v>
      </c>
      <c r="I77" s="36">
        <f>+B77*D90%</f>
        <v>0</v>
      </c>
      <c r="J77" s="36">
        <f>+B77*D91%</f>
        <v>0</v>
      </c>
      <c r="K77" s="36">
        <f>+B77*D92%</f>
        <v>0</v>
      </c>
      <c r="L77" s="36">
        <f>+C77*D93%</f>
        <v>0</v>
      </c>
    </row>
    <row r="78" spans="1:12" ht="15.6">
      <c r="A78" s="92" t="s">
        <v>119</v>
      </c>
      <c r="B78" s="93">
        <f>SUM(B67:B77)</f>
        <v>3091.7700000000013</v>
      </c>
      <c r="C78" s="93">
        <f>SUM(C67:C77)</f>
        <v>748.90200000000038</v>
      </c>
      <c r="D78" s="93">
        <f>SUM(D67:D77)</f>
        <v>336.8791470000001</v>
      </c>
      <c r="E78" s="93">
        <f t="shared" ref="E78:L78" si="6">SUM(E67:E77)</f>
        <v>68.03075400000003</v>
      </c>
      <c r="F78" s="93">
        <f t="shared" si="6"/>
        <v>121.13788500000004</v>
      </c>
      <c r="G78" s="93">
        <f t="shared" si="6"/>
        <v>440.64975900000019</v>
      </c>
      <c r="H78" s="93">
        <f t="shared" si="6"/>
        <v>30.294264000000013</v>
      </c>
      <c r="I78" s="93">
        <f t="shared" si="6"/>
        <v>13.773177000000006</v>
      </c>
      <c r="J78" s="93">
        <f t="shared" si="6"/>
        <v>578.10192000000029</v>
      </c>
      <c r="K78" s="93">
        <f t="shared" si="6"/>
        <v>0</v>
      </c>
      <c r="L78" s="93">
        <f t="shared" si="6"/>
        <v>0</v>
      </c>
    </row>
    <row r="81" spans="1:18">
      <c r="A81" s="55" t="s">
        <v>99</v>
      </c>
      <c r="B81" s="56" t="s">
        <v>150</v>
      </c>
      <c r="C81" s="56" t="s">
        <v>151</v>
      </c>
      <c r="D81" s="56" t="s">
        <v>152</v>
      </c>
      <c r="E81" s="56" t="s">
        <v>153</v>
      </c>
      <c r="F81" s="56" t="s">
        <v>154</v>
      </c>
      <c r="H81" s="237" t="s">
        <v>144</v>
      </c>
      <c r="I81" s="237"/>
      <c r="J81" s="237"/>
      <c r="K81" s="237"/>
      <c r="M81" s="237" t="s">
        <v>145</v>
      </c>
      <c r="N81" s="237"/>
      <c r="O81" s="237"/>
      <c r="Q81" s="238" t="s">
        <v>148</v>
      </c>
      <c r="R81" s="238"/>
    </row>
    <row r="82" spans="1:18">
      <c r="A82" s="57" t="s">
        <v>118</v>
      </c>
      <c r="B82" s="57" t="s">
        <v>105</v>
      </c>
      <c r="C82" s="57" t="s">
        <v>104</v>
      </c>
      <c r="D82" s="57" t="s">
        <v>103</v>
      </c>
      <c r="E82" s="57" t="s">
        <v>155</v>
      </c>
      <c r="F82" s="57" t="s">
        <v>142</v>
      </c>
    </row>
    <row r="83" spans="1:18">
      <c r="A83" s="57"/>
      <c r="B83" s="57"/>
      <c r="C83" s="57"/>
      <c r="D83" s="57" t="s">
        <v>143</v>
      </c>
      <c r="E83" s="57"/>
      <c r="F83" s="57"/>
    </row>
    <row r="84" spans="1:18">
      <c r="A84" s="58" t="s">
        <v>149</v>
      </c>
      <c r="B84" s="98"/>
      <c r="C84" s="98">
        <v>28</v>
      </c>
      <c r="D84" s="98">
        <v>28</v>
      </c>
      <c r="E84" s="98">
        <v>20</v>
      </c>
      <c r="F84" s="98">
        <v>28</v>
      </c>
    </row>
    <row r="85" spans="1:18">
      <c r="A85" s="58" t="s">
        <v>29</v>
      </c>
      <c r="B85" s="98">
        <v>14.91</v>
      </c>
      <c r="C85" s="98">
        <v>10.27</v>
      </c>
      <c r="D85" s="98">
        <v>10.27</v>
      </c>
      <c r="E85" s="98">
        <v>14.1</v>
      </c>
      <c r="F85" s="98">
        <v>10.27</v>
      </c>
    </row>
    <row r="86" spans="1:18">
      <c r="A86" s="58" t="s">
        <v>30</v>
      </c>
      <c r="B86" s="98">
        <v>3.87</v>
      </c>
      <c r="C86" s="98">
        <v>1.94</v>
      </c>
      <c r="D86" s="98">
        <v>1.94</v>
      </c>
      <c r="E86" s="98">
        <v>3.12</v>
      </c>
      <c r="F86" s="98">
        <v>1.94</v>
      </c>
    </row>
    <row r="87" spans="1:18">
      <c r="A87" s="58" t="s">
        <v>33</v>
      </c>
      <c r="B87" s="98">
        <v>6.15</v>
      </c>
      <c r="C87" s="98">
        <v>3.57</v>
      </c>
      <c r="D87" s="98">
        <v>3.57</v>
      </c>
      <c r="E87" s="98">
        <v>6</v>
      </c>
      <c r="F87" s="98">
        <v>3.57</v>
      </c>
    </row>
    <row r="88" spans="1:18">
      <c r="A88" s="58" t="s">
        <v>31</v>
      </c>
      <c r="B88" s="98">
        <v>27.22</v>
      </c>
      <c r="C88" s="98">
        <v>12.23</v>
      </c>
      <c r="D88" s="98">
        <v>12.23</v>
      </c>
      <c r="E88" s="98">
        <v>22.3</v>
      </c>
      <c r="F88" s="98">
        <v>12.23</v>
      </c>
      <c r="K88" s="37"/>
      <c r="L88" s="39"/>
    </row>
    <row r="89" spans="1:18">
      <c r="A89" s="58" t="s">
        <v>34</v>
      </c>
      <c r="B89" s="98">
        <v>1.62</v>
      </c>
      <c r="C89" s="98">
        <v>0.88</v>
      </c>
      <c r="D89" s="98">
        <v>0.88</v>
      </c>
      <c r="E89" s="98">
        <v>0.97</v>
      </c>
      <c r="F89" s="98">
        <v>0.88</v>
      </c>
      <c r="K89" s="37"/>
      <c r="L89" s="39"/>
    </row>
    <row r="90" spans="1:18">
      <c r="A90" s="58" t="s">
        <v>102</v>
      </c>
      <c r="B90" s="98">
        <v>0.16</v>
      </c>
      <c r="C90" s="98">
        <v>0.49</v>
      </c>
      <c r="D90" s="98">
        <v>0.49</v>
      </c>
      <c r="E90" s="98">
        <v>0.71</v>
      </c>
      <c r="F90" s="98">
        <v>0.49</v>
      </c>
      <c r="K90" s="37"/>
      <c r="L90" s="39"/>
    </row>
    <row r="91" spans="1:18">
      <c r="A91" s="58" t="s">
        <v>35</v>
      </c>
      <c r="B91" s="98">
        <v>10.35</v>
      </c>
      <c r="C91" s="98">
        <v>20</v>
      </c>
      <c r="D91" s="98">
        <v>20</v>
      </c>
      <c r="E91" s="98">
        <v>10.9</v>
      </c>
      <c r="F91" s="98">
        <v>20</v>
      </c>
      <c r="K91" s="37"/>
      <c r="L91" s="39"/>
    </row>
    <row r="92" spans="1:18">
      <c r="A92" s="58" t="s">
        <v>100</v>
      </c>
      <c r="B92" s="98"/>
      <c r="C92" s="98"/>
      <c r="D92" s="98"/>
      <c r="E92" s="98"/>
      <c r="F92" s="98"/>
      <c r="K92" s="37"/>
      <c r="L92" s="39"/>
    </row>
    <row r="93" spans="1:18">
      <c r="A93" s="58" t="s">
        <v>101</v>
      </c>
      <c r="B93" s="98"/>
      <c r="C93" s="98"/>
      <c r="D93" s="98"/>
      <c r="E93" s="98"/>
      <c r="F93" s="98"/>
      <c r="H93" s="237" t="s">
        <v>146</v>
      </c>
      <c r="I93" s="237"/>
      <c r="J93" s="237"/>
      <c r="K93" s="237"/>
      <c r="M93" s="237" t="s">
        <v>147</v>
      </c>
      <c r="N93" s="237"/>
      <c r="O93" s="237"/>
    </row>
    <row r="94" spans="1:18">
      <c r="G94" s="36"/>
      <c r="H94" s="36"/>
      <c r="I94" s="36"/>
      <c r="J94" s="36"/>
    </row>
    <row r="96" spans="1:18">
      <c r="G96" s="37"/>
      <c r="H96" s="37"/>
      <c r="I96" s="37"/>
      <c r="J96" s="37"/>
    </row>
    <row r="97" spans="1:10">
      <c r="C97" s="32" t="s">
        <v>98</v>
      </c>
      <c r="E97" s="32">
        <v>34</v>
      </c>
      <c r="G97" s="37"/>
      <c r="H97" s="37"/>
      <c r="I97" s="37"/>
      <c r="J97" s="37"/>
    </row>
    <row r="98" spans="1:10">
      <c r="A98" s="35" t="s">
        <v>87</v>
      </c>
      <c r="B98" s="32">
        <f>36*0.19</f>
        <v>6.84</v>
      </c>
      <c r="C98" s="37">
        <f>+D98/$D$108</f>
        <v>0.17</v>
      </c>
      <c r="D98" s="32">
        <f>+PPC!B2</f>
        <v>5.95</v>
      </c>
      <c r="E98" s="32">
        <f>+$E$97*D98%</f>
        <v>2.0230000000000001</v>
      </c>
      <c r="G98" s="37"/>
      <c r="H98" s="37"/>
      <c r="I98" s="37"/>
      <c r="J98" s="37"/>
    </row>
    <row r="99" spans="1:10">
      <c r="A99" s="35" t="s">
        <v>88</v>
      </c>
      <c r="B99" s="32">
        <f>36*0.058</f>
        <v>2.0880000000000001</v>
      </c>
      <c r="C99" s="37">
        <f t="shared" ref="C99:C107" si="7">+D99/$D$108</f>
        <v>5.800000000000001E-2</v>
      </c>
      <c r="D99" s="32">
        <f>+PPC!B9</f>
        <v>2.0300000000000002</v>
      </c>
      <c r="E99" s="32">
        <f t="shared" ref="E99:E107" si="8">+$E$97*D99%</f>
        <v>0.69020000000000004</v>
      </c>
      <c r="G99" s="37"/>
      <c r="H99" s="37"/>
      <c r="I99" s="37"/>
      <c r="J99" s="37"/>
    </row>
    <row r="100" spans="1:10">
      <c r="A100" s="35" t="s">
        <v>89</v>
      </c>
      <c r="B100" s="32">
        <f>36*0.074</f>
        <v>2.6639999999999997</v>
      </c>
      <c r="C100" s="37">
        <f t="shared" si="7"/>
        <v>0</v>
      </c>
      <c r="D100" s="32">
        <f>+PPC!B5</f>
        <v>0</v>
      </c>
      <c r="E100" s="32">
        <f t="shared" si="8"/>
        <v>0</v>
      </c>
      <c r="G100" s="37"/>
      <c r="H100" s="37"/>
      <c r="I100" s="37"/>
      <c r="J100" s="37"/>
    </row>
    <row r="101" spans="1:10">
      <c r="A101" s="35" t="s">
        <v>90</v>
      </c>
      <c r="B101" s="32">
        <f>36*0.39</f>
        <v>14.040000000000001</v>
      </c>
      <c r="C101" s="37">
        <f t="shared" si="7"/>
        <v>0.42699999999999999</v>
      </c>
      <c r="D101" s="32">
        <f>+PPC!B4</f>
        <v>14.945</v>
      </c>
      <c r="E101" s="32">
        <f>+$E$97*D101%</f>
        <v>5.0812999999999997</v>
      </c>
      <c r="G101" s="37"/>
      <c r="H101" s="37"/>
      <c r="I101" s="37"/>
      <c r="J101" s="37"/>
    </row>
    <row r="102" spans="1:10">
      <c r="A102" s="35" t="s">
        <v>91</v>
      </c>
      <c r="B102" s="32">
        <f>36*0.2</f>
        <v>7.2</v>
      </c>
      <c r="C102" s="37">
        <f t="shared" si="7"/>
        <v>0.25800000000000001</v>
      </c>
      <c r="D102" s="32">
        <f>+PPC!B7</f>
        <v>9.0300000000000011</v>
      </c>
      <c r="E102" s="32">
        <f t="shared" si="8"/>
        <v>3.0702000000000003</v>
      </c>
      <c r="G102" s="37"/>
      <c r="H102" s="37"/>
      <c r="I102" s="37"/>
      <c r="J102" s="37"/>
    </row>
    <row r="103" spans="1:10">
      <c r="A103" s="35" t="s">
        <v>92</v>
      </c>
      <c r="B103" s="32">
        <f>36*0.07</f>
        <v>2.5200000000000005</v>
      </c>
      <c r="C103" s="37">
        <f t="shared" si="7"/>
        <v>8.6999999999999994E-2</v>
      </c>
      <c r="D103" s="32">
        <f>+PPC!B3</f>
        <v>3.0449999999999999</v>
      </c>
      <c r="E103" s="32">
        <f t="shared" si="8"/>
        <v>1.0352999999999999</v>
      </c>
      <c r="G103" s="37"/>
      <c r="H103" s="37"/>
      <c r="I103" s="37"/>
      <c r="J103" s="37"/>
    </row>
    <row r="104" spans="1:10">
      <c r="A104" s="35" t="s">
        <v>93</v>
      </c>
      <c r="B104" s="32">
        <v>0</v>
      </c>
      <c r="C104" s="37">
        <f t="shared" si="7"/>
        <v>0</v>
      </c>
      <c r="D104" s="32">
        <f>+PPC!B8</f>
        <v>0</v>
      </c>
      <c r="E104" s="32">
        <f t="shared" si="8"/>
        <v>0</v>
      </c>
      <c r="G104" s="37"/>
      <c r="H104" s="37"/>
      <c r="I104" s="37"/>
      <c r="J104" s="37"/>
    </row>
    <row r="105" spans="1:10">
      <c r="A105" s="35" t="s">
        <v>95</v>
      </c>
      <c r="B105" s="32">
        <f>36*0.013</f>
        <v>0.46799999999999997</v>
      </c>
      <c r="C105" s="37">
        <f t="shared" si="7"/>
        <v>0</v>
      </c>
      <c r="D105" s="32">
        <f>+PPC!B6</f>
        <v>0</v>
      </c>
      <c r="E105" s="32">
        <f>+$E$97*D105%</f>
        <v>0</v>
      </c>
    </row>
    <row r="106" spans="1:10">
      <c r="A106" s="35" t="s">
        <v>96</v>
      </c>
      <c r="B106" s="32">
        <v>0</v>
      </c>
      <c r="C106" s="37">
        <f t="shared" si="7"/>
        <v>0</v>
      </c>
      <c r="E106" s="32">
        <f t="shared" si="8"/>
        <v>0</v>
      </c>
    </row>
    <row r="107" spans="1:10">
      <c r="A107" s="35" t="s">
        <v>97</v>
      </c>
      <c r="B107" s="32">
        <f>36*0.003</f>
        <v>0.108</v>
      </c>
      <c r="C107" s="37">
        <f t="shared" si="7"/>
        <v>0</v>
      </c>
      <c r="E107" s="32">
        <f t="shared" si="8"/>
        <v>0</v>
      </c>
    </row>
    <row r="108" spans="1:10">
      <c r="A108" s="35" t="s">
        <v>94</v>
      </c>
      <c r="B108" s="32">
        <f>SUM(B98:B107)</f>
        <v>35.928000000000004</v>
      </c>
      <c r="D108" s="32">
        <f>SUM(D98:D107)</f>
        <v>35</v>
      </c>
    </row>
    <row r="112" spans="1:10">
      <c r="C112" s="32" t="s">
        <v>157</v>
      </c>
      <c r="D112" s="32">
        <v>3222.42</v>
      </c>
      <c r="E112" s="32">
        <f>+D112/$D$115*$E$115</f>
        <v>3.3676187607330314E-2</v>
      </c>
    </row>
    <row r="113" spans="3:5">
      <c r="C113" s="32" t="s">
        <v>158</v>
      </c>
      <c r="D113" s="32">
        <v>26770.382000000001</v>
      </c>
      <c r="E113" s="32">
        <f>+D113/$D$115*$E$115</f>
        <v>0.27976626465572418</v>
      </c>
    </row>
    <row r="114" spans="3:5">
      <c r="C114" s="32" t="s">
        <v>159</v>
      </c>
      <c r="D114" s="32">
        <v>1584.365</v>
      </c>
      <c r="E114" s="32">
        <f>+D114/$D$115*$E$115</f>
        <v>1.6557547736945493E-2</v>
      </c>
    </row>
    <row r="115" spans="3:5">
      <c r="D115" s="32">
        <f>SUM(D112:D114)</f>
        <v>31577.167000000005</v>
      </c>
      <c r="E115" s="32">
        <v>0.33</v>
      </c>
    </row>
  </sheetData>
  <mergeCells count="8">
    <mergeCell ref="Q81:R81"/>
    <mergeCell ref="H93:K93"/>
    <mergeCell ref="M93:O93"/>
    <mergeCell ref="N1:O1"/>
    <mergeCell ref="D22:D23"/>
    <mergeCell ref="D27:D28"/>
    <mergeCell ref="H81:K81"/>
    <mergeCell ref="M81:O81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D4128-7A49-4323-8F18-C858079FB1B4}">
  <dimension ref="A1:F11"/>
  <sheetViews>
    <sheetView workbookViewId="0">
      <selection activeCell="E7" sqref="E7"/>
    </sheetView>
  </sheetViews>
  <sheetFormatPr baseColWidth="10" defaultRowHeight="14.4"/>
  <cols>
    <col min="1" max="1" width="20.77734375" customWidth="1"/>
    <col min="3" max="4" width="14.109375" customWidth="1"/>
  </cols>
  <sheetData>
    <row r="1" spans="1:6">
      <c r="A1" s="161" t="s">
        <v>0</v>
      </c>
      <c r="B1" s="161" t="s">
        <v>184</v>
      </c>
      <c r="C1" s="161" t="s">
        <v>297</v>
      </c>
      <c r="D1" s="161" t="s">
        <v>298</v>
      </c>
      <c r="E1" s="161" t="s">
        <v>301</v>
      </c>
      <c r="F1" s="245"/>
    </row>
    <row r="2" spans="1:6">
      <c r="A2" s="163" t="s">
        <v>10</v>
      </c>
      <c r="B2" s="166">
        <v>170</v>
      </c>
      <c r="C2" s="166">
        <v>0.32</v>
      </c>
      <c r="D2" s="244">
        <v>20000</v>
      </c>
      <c r="E2" s="244">
        <v>0.1</v>
      </c>
    </row>
    <row r="3" spans="1:6">
      <c r="A3" s="171" t="s">
        <v>296</v>
      </c>
      <c r="B3" s="166">
        <v>220</v>
      </c>
      <c r="C3" s="166">
        <v>0.9</v>
      </c>
      <c r="D3" s="244">
        <v>15000</v>
      </c>
      <c r="E3" s="244">
        <v>0.1</v>
      </c>
    </row>
    <row r="4" spans="1:6">
      <c r="A4" s="172" t="s">
        <v>276</v>
      </c>
      <c r="B4" s="166">
        <v>180</v>
      </c>
      <c r="C4" s="166">
        <v>0.43</v>
      </c>
      <c r="D4" s="244">
        <v>2000</v>
      </c>
      <c r="E4" s="244">
        <v>0.1</v>
      </c>
    </row>
    <row r="5" spans="1:6">
      <c r="A5" s="173" t="s">
        <v>278</v>
      </c>
      <c r="B5" s="166">
        <v>217</v>
      </c>
      <c r="C5" s="166">
        <v>0.7</v>
      </c>
      <c r="D5" s="244">
        <v>5000</v>
      </c>
      <c r="E5" s="244">
        <v>0.1</v>
      </c>
    </row>
    <row r="6" spans="1:6">
      <c r="A6" s="174" t="s">
        <v>224</v>
      </c>
      <c r="B6" s="166">
        <v>56</v>
      </c>
      <c r="C6" s="166">
        <v>1</v>
      </c>
      <c r="D6" s="244">
        <v>1000</v>
      </c>
      <c r="E6" s="244">
        <v>0.1</v>
      </c>
    </row>
    <row r="7" spans="1:6">
      <c r="A7" s="175" t="s">
        <v>81</v>
      </c>
      <c r="B7" s="166">
        <v>295</v>
      </c>
      <c r="C7" s="166">
        <v>1</v>
      </c>
      <c r="D7" s="244">
        <v>5000</v>
      </c>
      <c r="E7" s="244">
        <v>0.1</v>
      </c>
    </row>
    <row r="8" spans="1:6">
      <c r="A8" s="176" t="s">
        <v>279</v>
      </c>
      <c r="B8" s="166">
        <v>240</v>
      </c>
      <c r="C8" s="166">
        <v>3.5</v>
      </c>
      <c r="D8" s="244">
        <v>7000</v>
      </c>
      <c r="E8" s="244">
        <v>0.1</v>
      </c>
    </row>
    <row r="9" spans="1:6">
      <c r="A9" s="172" t="s">
        <v>83</v>
      </c>
      <c r="B9" s="166">
        <v>205</v>
      </c>
      <c r="C9" s="166">
        <v>0.6</v>
      </c>
      <c r="D9" s="244">
        <v>2000</v>
      </c>
      <c r="E9" s="244">
        <v>0.1</v>
      </c>
    </row>
    <row r="11" spans="1:6">
      <c r="B11" s="2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A591F-B81D-4B72-820A-B21378B21F2E}">
  <dimension ref="A1:C9"/>
  <sheetViews>
    <sheetView tabSelected="1" workbookViewId="0">
      <selection activeCell="E11" sqref="E11"/>
    </sheetView>
  </sheetViews>
  <sheetFormatPr baseColWidth="10" defaultRowHeight="14.4"/>
  <cols>
    <col min="1" max="1" width="20.21875" customWidth="1"/>
  </cols>
  <sheetData>
    <row r="1" spans="1:3">
      <c r="A1" s="161" t="s">
        <v>0</v>
      </c>
      <c r="B1" s="161" t="s">
        <v>299</v>
      </c>
      <c r="C1" s="161" t="s">
        <v>300</v>
      </c>
    </row>
    <row r="2" spans="1:3">
      <c r="A2" s="163" t="s">
        <v>10</v>
      </c>
      <c r="B2" s="247"/>
      <c r="C2" s="247"/>
    </row>
    <row r="3" spans="1:3">
      <c r="A3" s="171" t="s">
        <v>296</v>
      </c>
      <c r="B3" s="247"/>
      <c r="C3" s="247"/>
    </row>
    <row r="4" spans="1:3">
      <c r="A4" s="172" t="s">
        <v>276</v>
      </c>
      <c r="B4" s="247"/>
      <c r="C4" s="247"/>
    </row>
    <row r="5" spans="1:3">
      <c r="A5" s="173" t="s">
        <v>278</v>
      </c>
      <c r="B5" s="247">
        <v>0.03</v>
      </c>
      <c r="C5" s="247"/>
    </row>
    <row r="6" spans="1:3">
      <c r="A6" s="174" t="s">
        <v>224</v>
      </c>
      <c r="B6" s="247">
        <v>0.02</v>
      </c>
      <c r="C6" s="247"/>
    </row>
    <row r="7" spans="1:3">
      <c r="A7" s="175" t="s">
        <v>81</v>
      </c>
      <c r="B7" s="247"/>
      <c r="C7" s="247"/>
    </row>
    <row r="8" spans="1:3">
      <c r="A8" s="176" t="s">
        <v>279</v>
      </c>
      <c r="B8" s="247"/>
      <c r="C8" s="247"/>
    </row>
    <row r="9" spans="1:3">
      <c r="A9" s="172" t="s">
        <v>83</v>
      </c>
      <c r="B9" s="247"/>
      <c r="C9" s="24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T112"/>
  <sheetViews>
    <sheetView zoomScale="145" zoomScaleNormal="145" workbookViewId="0">
      <selection activeCell="B3" sqref="B3"/>
    </sheetView>
  </sheetViews>
  <sheetFormatPr baseColWidth="10" defaultColWidth="11.44140625" defaultRowHeight="13.8"/>
  <cols>
    <col min="1" max="1" width="18.44140625" style="32" customWidth="1"/>
    <col min="2" max="2" width="9.109375" style="32" customWidth="1"/>
    <col min="3" max="3" width="6.6640625" style="32" customWidth="1"/>
    <col min="4" max="4" width="11.109375" style="32" customWidth="1"/>
    <col min="5" max="5" width="10.44140625" style="32" customWidth="1"/>
    <col min="6" max="6" width="9.33203125" style="32" customWidth="1"/>
    <col min="7" max="7" width="9.109375" style="32" customWidth="1"/>
    <col min="8" max="8" width="9.33203125" style="32" customWidth="1"/>
    <col min="9" max="9" width="8" style="32" customWidth="1"/>
    <col min="10" max="10" width="10.44140625" style="32" bestFit="1" customWidth="1"/>
    <col min="11" max="11" width="5.109375" style="32" customWidth="1"/>
    <col min="12" max="12" width="7.33203125" style="32" customWidth="1"/>
    <col min="13" max="13" width="12.44140625" style="32" bestFit="1" customWidth="1"/>
    <col min="14" max="14" width="7.5546875" style="32" bestFit="1" customWidth="1"/>
    <col min="15" max="15" width="9.44140625" style="32" customWidth="1"/>
    <col min="16" max="16" width="12.109375" style="32" bestFit="1" customWidth="1"/>
    <col min="17" max="16384" width="11.44140625" style="32"/>
  </cols>
  <sheetData>
    <row r="1" spans="1:176" ht="15" customHeight="1">
      <c r="A1" s="32" t="s">
        <v>0</v>
      </c>
      <c r="B1" s="32" t="s">
        <v>3</v>
      </c>
      <c r="C1" s="32" t="s">
        <v>21</v>
      </c>
      <c r="D1" s="32" t="s">
        <v>1</v>
      </c>
      <c r="E1" s="32" t="s">
        <v>4</v>
      </c>
      <c r="F1" s="32" t="s">
        <v>84</v>
      </c>
      <c r="G1" s="32" t="s">
        <v>184</v>
      </c>
      <c r="H1" s="32" t="s">
        <v>86</v>
      </c>
      <c r="L1" s="33" t="s">
        <v>209</v>
      </c>
      <c r="M1" s="34">
        <f>+B16+B27+B33+I19+B26+B38</f>
        <v>4757.4465272727284</v>
      </c>
      <c r="N1" s="241" t="s">
        <v>42</v>
      </c>
      <c r="O1" s="242"/>
      <c r="P1" s="64" t="s">
        <v>39</v>
      </c>
      <c r="R1" s="64" t="s">
        <v>54</v>
      </c>
      <c r="S1" s="64" t="s">
        <v>4</v>
      </c>
      <c r="FK1" s="32" t="s">
        <v>35</v>
      </c>
      <c r="FL1" s="32" t="s">
        <v>109</v>
      </c>
      <c r="FM1" s="32" t="s">
        <v>110</v>
      </c>
      <c r="FN1" s="32" t="s">
        <v>111</v>
      </c>
      <c r="FO1" s="32" t="s">
        <v>112</v>
      </c>
      <c r="FP1" s="32" t="s">
        <v>113</v>
      </c>
      <c r="FQ1" s="32" t="s">
        <v>114</v>
      </c>
      <c r="FR1" s="32" t="s">
        <v>115</v>
      </c>
      <c r="FS1" s="32" t="s">
        <v>116</v>
      </c>
      <c r="FT1" s="32" t="s">
        <v>117</v>
      </c>
    </row>
    <row r="2" spans="1:176" ht="14.4">
      <c r="A2" s="35" t="str">
        <f>+PPC!A2</f>
        <v>LIVIANA</v>
      </c>
      <c r="B2" s="36">
        <f t="shared" ref="B2:B9" si="0">+$B$13*H2</f>
        <v>5.78</v>
      </c>
      <c r="C2" s="36">
        <f t="shared" ref="C2:C9" si="1">+B2*(1-F2)</f>
        <v>4.8552</v>
      </c>
      <c r="D2" s="36">
        <f>+B2-C2</f>
        <v>0.92480000000000029</v>
      </c>
      <c r="E2" s="37">
        <f>+PPC!E2</f>
        <v>0.84</v>
      </c>
      <c r="F2" s="37">
        <f t="shared" ref="F2:F9" si="2">1-E2</f>
        <v>0.16000000000000003</v>
      </c>
      <c r="G2" s="38">
        <f>+PPC!G2</f>
        <v>170</v>
      </c>
      <c r="H2" s="37">
        <f>+PPC!J2</f>
        <v>0.17</v>
      </c>
      <c r="L2" s="32" t="s">
        <v>29</v>
      </c>
      <c r="M2" s="40">
        <f>+B19+B28+B35</f>
        <v>942.58544600000005</v>
      </c>
      <c r="N2" s="60" t="s">
        <v>29</v>
      </c>
      <c r="O2" s="97">
        <f t="shared" ref="O2:O9" si="3">+M2/$M$10</f>
        <v>0.26861907679085462</v>
      </c>
      <c r="P2" s="94">
        <f>+M2/M3</f>
        <v>1.6586043035051741</v>
      </c>
      <c r="R2" s="65">
        <f>(C14*1000-E19-E39-(E44-B39)-E49-E54)/1000</f>
        <v>31.14071148888889</v>
      </c>
      <c r="S2" s="66">
        <f>+R2/B14</f>
        <v>0.91590327908496738</v>
      </c>
      <c r="W2" s="39"/>
      <c r="X2" s="39"/>
      <c r="FK2" s="32">
        <v>0</v>
      </c>
      <c r="FL2" s="41">
        <v>0</v>
      </c>
      <c r="FM2" s="41">
        <v>16.999659827586903</v>
      </c>
      <c r="FN2" s="41"/>
      <c r="FO2" s="41"/>
      <c r="FP2" s="41"/>
      <c r="FQ2" s="41"/>
      <c r="FR2" s="41"/>
      <c r="FS2" s="41"/>
    </row>
    <row r="3" spans="1:176">
      <c r="A3" s="35" t="str">
        <f>+PPC!A3</f>
        <v>PESADA IMPORTADA</v>
      </c>
      <c r="B3" s="36">
        <f t="shared" si="0"/>
        <v>2.9579999999999997</v>
      </c>
      <c r="C3" s="36">
        <f t="shared" si="1"/>
        <v>2.8692599999999997</v>
      </c>
      <c r="D3" s="36">
        <f>+B3-C3</f>
        <v>8.8740000000000041E-2</v>
      </c>
      <c r="E3" s="37">
        <f>+PPC!E3</f>
        <v>0.97</v>
      </c>
      <c r="F3" s="37">
        <f t="shared" si="2"/>
        <v>3.0000000000000027E-2</v>
      </c>
      <c r="G3" s="38">
        <f>+PPC!G3</f>
        <v>220</v>
      </c>
      <c r="H3" s="37">
        <f>+PPC!J3</f>
        <v>8.6999999999999994E-2</v>
      </c>
      <c r="L3" s="32" t="s">
        <v>31</v>
      </c>
      <c r="M3" s="40">
        <f>+B17+B30+I49</f>
        <v>568.30037400000003</v>
      </c>
      <c r="N3" s="60" t="s">
        <v>31</v>
      </c>
      <c r="O3" s="97">
        <f t="shared" si="3"/>
        <v>0.16195488955573945</v>
      </c>
      <c r="S3" s="37"/>
      <c r="FK3" s="32">
        <v>1</v>
      </c>
      <c r="FL3" s="41">
        <v>0.86301369863013699</v>
      </c>
      <c r="FM3" s="41">
        <v>16.698313264053553</v>
      </c>
      <c r="FN3" s="41"/>
      <c r="FO3" s="41"/>
      <c r="FP3" s="41"/>
      <c r="FQ3" s="41"/>
      <c r="FR3" s="41"/>
      <c r="FS3" s="41"/>
    </row>
    <row r="4" spans="1:176">
      <c r="A4" s="35" t="str">
        <f>+PPC!A4</f>
        <v>CIZALLA</v>
      </c>
      <c r="B4" s="36">
        <f t="shared" si="0"/>
        <v>14.517999999999999</v>
      </c>
      <c r="C4" s="36">
        <f t="shared" si="1"/>
        <v>12.775839999999999</v>
      </c>
      <c r="D4" s="36">
        <f t="shared" ref="D4:D9" si="4">+B4-C4</f>
        <v>1.7421600000000002</v>
      </c>
      <c r="E4" s="37">
        <f>+PPC!E4</f>
        <v>0.88</v>
      </c>
      <c r="F4" s="37">
        <f t="shared" si="2"/>
        <v>0.12</v>
      </c>
      <c r="G4" s="38">
        <f>+PPC!G4</f>
        <v>180</v>
      </c>
      <c r="H4" s="37">
        <f>+PPC!J4</f>
        <v>0.42699999999999999</v>
      </c>
      <c r="L4" s="32" t="s">
        <v>33</v>
      </c>
      <c r="M4" s="40">
        <f>+B18+I54</f>
        <v>176.83619488888888</v>
      </c>
      <c r="N4" s="60" t="s">
        <v>33</v>
      </c>
      <c r="O4" s="97">
        <f t="shared" si="3"/>
        <v>5.0394980758339626E-2</v>
      </c>
      <c r="P4" s="95" t="s">
        <v>120</v>
      </c>
      <c r="R4" s="32" t="s">
        <v>85</v>
      </c>
      <c r="S4" s="37">
        <v>0.98499999999999999</v>
      </c>
      <c r="FK4" s="32">
        <v>2</v>
      </c>
      <c r="FL4" s="41">
        <v>1.726027397260274</v>
      </c>
      <c r="FM4" s="41">
        <v>16.396966700520203</v>
      </c>
      <c r="FN4" s="41"/>
      <c r="FO4" s="41"/>
      <c r="FP4" s="41"/>
      <c r="FQ4" s="41"/>
      <c r="FR4" s="41"/>
      <c r="FS4" s="41"/>
    </row>
    <row r="5" spans="1:176" ht="14.4">
      <c r="A5" s="35" t="str">
        <f>+PPC!A5</f>
        <v>ALTO RESIDUAL</v>
      </c>
      <c r="B5" s="36">
        <f t="shared" si="0"/>
        <v>0</v>
      </c>
      <c r="C5" s="36">
        <f t="shared" si="1"/>
        <v>0</v>
      </c>
      <c r="D5" s="36">
        <f t="shared" si="4"/>
        <v>0</v>
      </c>
      <c r="E5" s="37">
        <f>+PPC!E5</f>
        <v>0.98</v>
      </c>
      <c r="F5" s="37">
        <f t="shared" si="2"/>
        <v>2.0000000000000018E-2</v>
      </c>
      <c r="G5" s="38">
        <f>+PPC!G5</f>
        <v>217</v>
      </c>
      <c r="H5" s="37">
        <f>+PPC!J5</f>
        <v>0</v>
      </c>
      <c r="L5" s="32" t="s">
        <v>30</v>
      </c>
      <c r="M5" s="40">
        <f>+B20+B29+B34</f>
        <v>245.93830800000001</v>
      </c>
      <c r="N5" s="60" t="s">
        <v>30</v>
      </c>
      <c r="O5" s="97">
        <f t="shared" si="3"/>
        <v>7.0087779864219185E-2</v>
      </c>
      <c r="P5" s="96">
        <f>1348.181674+3.99660706*O2+37.2199612*O5-1.19891958*O6-6.37252956*O4-2.62999577*O7-7.33636128*O3+2.000343166*O8</f>
        <v>1349.5440983409876</v>
      </c>
      <c r="R5" s="65">
        <f>+R2*S4</f>
        <v>30.673600816555556</v>
      </c>
      <c r="S5" s="66">
        <f>+S2*S4</f>
        <v>0.9021647298986929</v>
      </c>
      <c r="FK5" s="32">
        <v>3</v>
      </c>
      <c r="FL5" s="41">
        <v>2.5890410958904106</v>
      </c>
      <c r="FM5" s="41">
        <v>16.095620136986852</v>
      </c>
      <c r="FN5" s="41"/>
      <c r="FO5" s="41"/>
      <c r="FP5" s="41"/>
      <c r="FQ5" s="41"/>
      <c r="FR5" s="41"/>
      <c r="FS5" s="41"/>
    </row>
    <row r="6" spans="1:176">
      <c r="A6" s="35" t="str">
        <f>+PPC!A6</f>
        <v>CHATARRA HARSCO</v>
      </c>
      <c r="B6" s="36">
        <f t="shared" si="0"/>
        <v>0</v>
      </c>
      <c r="C6" s="36">
        <f t="shared" si="1"/>
        <v>0</v>
      </c>
      <c r="D6" s="36">
        <f t="shared" si="4"/>
        <v>0</v>
      </c>
      <c r="E6" s="37">
        <f>+PPC!E6</f>
        <v>0.85</v>
      </c>
      <c r="F6" s="37">
        <f t="shared" si="2"/>
        <v>0.15000000000000002</v>
      </c>
      <c r="G6" s="38">
        <f>+PPC!G6</f>
        <v>56</v>
      </c>
      <c r="H6" s="37">
        <f>+PPC!J6</f>
        <v>0</v>
      </c>
      <c r="L6" s="32" t="s">
        <v>34</v>
      </c>
      <c r="M6" s="40">
        <f>+B21+B38</f>
        <v>200.33436727272729</v>
      </c>
      <c r="N6" s="60" t="s">
        <v>34</v>
      </c>
      <c r="O6" s="97">
        <f t="shared" si="3"/>
        <v>5.7091516758131657E-2</v>
      </c>
      <c r="T6" s="184"/>
      <c r="FK6" s="32">
        <v>4</v>
      </c>
      <c r="FL6" s="41">
        <v>3.452054794520548</v>
      </c>
      <c r="FM6" s="41">
        <v>15.794273573453506</v>
      </c>
      <c r="FN6" s="41"/>
      <c r="FO6" s="41"/>
      <c r="FP6" s="41"/>
      <c r="FQ6" s="41"/>
      <c r="FR6" s="41"/>
      <c r="FS6" s="41"/>
    </row>
    <row r="7" spans="1:176">
      <c r="A7" s="35" t="str">
        <f>+PPC!A7</f>
        <v>IMPORTADA SHEADER</v>
      </c>
      <c r="B7" s="36">
        <f t="shared" si="0"/>
        <v>8.7720000000000002</v>
      </c>
      <c r="C7" s="36">
        <f t="shared" si="1"/>
        <v>8.4211200000000002</v>
      </c>
      <c r="D7" s="36">
        <f t="shared" si="4"/>
        <v>0.35088000000000008</v>
      </c>
      <c r="E7" s="37">
        <f>+PPC!E7</f>
        <v>0.96</v>
      </c>
      <c r="F7" s="37">
        <f t="shared" si="2"/>
        <v>4.0000000000000036E-2</v>
      </c>
      <c r="G7" s="38">
        <v>300</v>
      </c>
      <c r="H7" s="37">
        <f>+PPC!J7</f>
        <v>0.25800000000000001</v>
      </c>
      <c r="L7" s="32" t="s">
        <v>35</v>
      </c>
      <c r="M7" s="40">
        <f>+B24+I19</f>
        <v>1005.1619200000002</v>
      </c>
      <c r="N7" s="60" t="s">
        <v>35</v>
      </c>
      <c r="O7" s="97">
        <f t="shared" si="3"/>
        <v>0.28645219181086629</v>
      </c>
      <c r="P7" s="95" t="s">
        <v>62</v>
      </c>
      <c r="R7" s="61" t="s">
        <v>166</v>
      </c>
      <c r="S7" s="49">
        <f>+G20+G25+G30+G35+G40+G45+G50</f>
        <v>1291.0954576067541</v>
      </c>
      <c r="T7" s="186">
        <f>+S7/R2</f>
        <v>41.46005007199085</v>
      </c>
      <c r="FK7" s="32">
        <v>5</v>
      </c>
      <c r="FL7" s="41">
        <v>4.3150684931506849</v>
      </c>
      <c r="FM7" s="41">
        <v>15.492927009920155</v>
      </c>
      <c r="FN7" s="41"/>
      <c r="FO7" s="41"/>
      <c r="FP7" s="41"/>
      <c r="FQ7" s="41"/>
      <c r="FR7" s="41"/>
      <c r="FS7" s="41"/>
    </row>
    <row r="8" spans="1:176" ht="14.4">
      <c r="A8" s="35" t="str">
        <f>+PPC!A8</f>
        <v>ARRABIO</v>
      </c>
      <c r="B8" s="36">
        <f t="shared" si="0"/>
        <v>0</v>
      </c>
      <c r="C8" s="36">
        <f t="shared" si="1"/>
        <v>0</v>
      </c>
      <c r="D8" s="36">
        <f t="shared" si="4"/>
        <v>0</v>
      </c>
      <c r="E8" s="37">
        <f>+PPC!E8</f>
        <v>0.94</v>
      </c>
      <c r="F8" s="37">
        <f t="shared" si="2"/>
        <v>6.0000000000000053E-2</v>
      </c>
      <c r="G8" s="38">
        <v>30.94</v>
      </c>
      <c r="H8" s="37">
        <f>+PPC!J8</f>
        <v>0</v>
      </c>
      <c r="L8" s="32" t="s">
        <v>102</v>
      </c>
      <c r="M8" s="40">
        <f>+B23+I39</f>
        <v>19.847505483870968</v>
      </c>
      <c r="N8" s="60" t="s">
        <v>102</v>
      </c>
      <c r="O8" s="59">
        <f t="shared" si="3"/>
        <v>5.6561647777434955E-3</v>
      </c>
      <c r="P8" s="94">
        <f>+O2/(O3+O4)</f>
        <v>1.264983474647523</v>
      </c>
      <c r="S8" s="36"/>
      <c r="T8" s="184"/>
      <c r="FK8" s="32">
        <v>6</v>
      </c>
      <c r="FL8" s="41">
        <v>5.1780821917808213</v>
      </c>
      <c r="FM8" s="41">
        <v>15.191580446386805</v>
      </c>
      <c r="FN8" s="41"/>
      <c r="FO8" s="41"/>
      <c r="FP8" s="41"/>
      <c r="FQ8" s="41"/>
      <c r="FR8" s="41"/>
      <c r="FS8" s="41"/>
    </row>
    <row r="9" spans="1:176">
      <c r="A9" s="35" t="str">
        <f>+PPC!A9</f>
        <v>PESADA</v>
      </c>
      <c r="B9" s="36">
        <f t="shared" si="0"/>
        <v>1.9720000000000002</v>
      </c>
      <c r="C9" s="36">
        <f t="shared" si="1"/>
        <v>1.8931200000000001</v>
      </c>
      <c r="D9" s="36">
        <f t="shared" si="4"/>
        <v>7.8880000000000061E-2</v>
      </c>
      <c r="E9" s="37">
        <f>+PPC!E9</f>
        <v>0.96</v>
      </c>
      <c r="F9" s="37">
        <f t="shared" si="2"/>
        <v>4.0000000000000036E-2</v>
      </c>
      <c r="G9" s="38">
        <v>190</v>
      </c>
      <c r="H9" s="37">
        <f>+PPC!J9</f>
        <v>5.8000000000000003E-2</v>
      </c>
      <c r="J9" s="137" t="s">
        <v>210</v>
      </c>
      <c r="L9" s="32" t="s">
        <v>38</v>
      </c>
      <c r="M9" s="40">
        <v>350</v>
      </c>
      <c r="N9" s="60" t="s">
        <v>38</v>
      </c>
      <c r="O9" s="59">
        <f t="shared" si="3"/>
        <v>9.9743399684105782E-2</v>
      </c>
      <c r="R9" s="61" t="s">
        <v>127</v>
      </c>
      <c r="S9" s="62">
        <v>1000</v>
      </c>
      <c r="T9" s="186">
        <f>+S9/R5</f>
        <v>32.601324049971559</v>
      </c>
      <c r="FK9" s="32">
        <v>7</v>
      </c>
      <c r="FL9" s="41">
        <v>6.0410958904109595</v>
      </c>
      <c r="FM9" s="41">
        <v>14.890233882853456</v>
      </c>
      <c r="FN9" s="41"/>
      <c r="FO9" s="41"/>
      <c r="FP9" s="41"/>
      <c r="FQ9" s="41"/>
      <c r="FR9" s="41"/>
      <c r="FS9" s="41"/>
    </row>
    <row r="10" spans="1:176">
      <c r="A10" s="35"/>
      <c r="B10" s="36"/>
      <c r="C10" s="36"/>
      <c r="D10" s="36"/>
      <c r="E10" s="37"/>
      <c r="F10" s="37"/>
      <c r="G10" s="38"/>
      <c r="H10" s="37"/>
      <c r="J10" s="139">
        <f>+M10/R5</f>
        <v>114.39818026684242</v>
      </c>
      <c r="L10" s="133" t="s">
        <v>32</v>
      </c>
      <c r="M10" s="134">
        <f>SUM(M2:M9)</f>
        <v>3509.0041156454872</v>
      </c>
      <c r="T10" s="184"/>
      <c r="FK10" s="32">
        <v>8</v>
      </c>
      <c r="FL10" s="41">
        <v>6.904109589041096</v>
      </c>
      <c r="FM10" s="41">
        <v>14.588887319320106</v>
      </c>
      <c r="FN10" s="41"/>
      <c r="FO10" s="41"/>
      <c r="FP10" s="41"/>
      <c r="FQ10" s="41"/>
      <c r="FR10" s="41"/>
      <c r="FS10" s="41"/>
    </row>
    <row r="11" spans="1:176">
      <c r="A11" s="35"/>
      <c r="B11" s="36"/>
      <c r="C11" s="36"/>
      <c r="D11" s="36"/>
      <c r="E11" s="37"/>
      <c r="F11" s="37"/>
      <c r="G11" s="38"/>
      <c r="H11" s="37"/>
      <c r="J11" s="138">
        <f>+M11/R5</f>
        <v>16.30066202498578</v>
      </c>
      <c r="L11" s="135" t="s">
        <v>179</v>
      </c>
      <c r="M11" s="136">
        <v>500</v>
      </c>
      <c r="O11" s="32" t="s">
        <v>181</v>
      </c>
      <c r="P11" s="32" t="s">
        <v>182</v>
      </c>
      <c r="R11" s="184" t="s">
        <v>51</v>
      </c>
      <c r="S11" s="185">
        <f>+S9-S7</f>
        <v>-291.09545760675405</v>
      </c>
      <c r="T11" s="186">
        <f>+S11*1.4284</f>
        <v>-415.80075164548748</v>
      </c>
      <c r="U11" s="186">
        <f>+T11*1000</f>
        <v>-415800.7516454875</v>
      </c>
      <c r="FK11" s="32">
        <v>9</v>
      </c>
      <c r="FL11" s="41">
        <v>7.7671232876712324</v>
      </c>
      <c r="FM11" s="41">
        <v>14.287540755786758</v>
      </c>
      <c r="FN11" s="41"/>
      <c r="FO11" s="41"/>
      <c r="FP11" s="41"/>
      <c r="FQ11" s="41"/>
      <c r="FR11" s="41"/>
      <c r="FS11" s="41"/>
    </row>
    <row r="12" spans="1:176">
      <c r="A12" s="35"/>
      <c r="B12" s="36"/>
      <c r="C12" s="36"/>
      <c r="D12" s="36"/>
      <c r="E12" s="37"/>
      <c r="F12" s="37"/>
      <c r="G12" s="38"/>
      <c r="H12" s="37"/>
      <c r="O12" s="37" t="s">
        <v>180</v>
      </c>
      <c r="P12" s="32" t="s">
        <v>183</v>
      </c>
      <c r="R12" s="184"/>
      <c r="S12" s="186"/>
      <c r="T12" s="186"/>
      <c r="U12" s="186"/>
      <c r="FK12" s="32">
        <v>10</v>
      </c>
      <c r="FL12" s="41">
        <v>8.6301369863013697</v>
      </c>
      <c r="FM12" s="41">
        <v>13.986194192253407</v>
      </c>
      <c r="FN12" s="41"/>
      <c r="FO12" s="41"/>
      <c r="FP12" s="41"/>
      <c r="FQ12" s="41"/>
      <c r="FR12" s="41"/>
      <c r="FS12" s="41"/>
    </row>
    <row r="13" spans="1:176" ht="14.4">
      <c r="B13" s="63">
        <v>34</v>
      </c>
      <c r="M13" s="35" t="s">
        <v>53</v>
      </c>
      <c r="N13" s="37">
        <f>2.19063*10^-4*P2^6-5.15999*10^-3*P2^5+4.94488*10^-2*P2^4-2.47772*10^-1*P2^3+6.92834*10^-1*P2^2-1.05363*P2+7.70403*10^-1</f>
        <v>0.11229820275948088</v>
      </c>
      <c r="O13" s="40">
        <f>+(N13-O5)*M10</f>
        <v>148.1165476626098</v>
      </c>
      <c r="P13" s="36">
        <f>27*O13*0.6</f>
        <v>2399.4880721342788</v>
      </c>
      <c r="R13" s="184" t="s">
        <v>52</v>
      </c>
      <c r="S13" s="187">
        <f>+U11/R2*0.5</f>
        <v>-6676.1601094735197</v>
      </c>
      <c r="T13" s="184"/>
      <c r="U13" s="184"/>
      <c r="FK13" s="32">
        <v>11</v>
      </c>
      <c r="FL13" s="41">
        <v>9.493150684931507</v>
      </c>
      <c r="FM13" s="41">
        <v>13.684847628720059</v>
      </c>
      <c r="FN13" s="41"/>
      <c r="FO13" s="41"/>
      <c r="FP13" s="41"/>
      <c r="FQ13" s="41">
        <v>12.695652173913045</v>
      </c>
      <c r="FR13" s="41"/>
      <c r="FS13" s="41">
        <v>12.7</v>
      </c>
    </row>
    <row r="14" spans="1:176">
      <c r="A14" s="32" t="s">
        <v>2</v>
      </c>
      <c r="B14" s="38">
        <f>SUM(B2:B12)</f>
        <v>34</v>
      </c>
      <c r="C14" s="36">
        <f>SUM(C2:C12)+C75/1000</f>
        <v>31.678398399999999</v>
      </c>
      <c r="D14" s="36">
        <f>SUM(D2:D9)</f>
        <v>3.1854600000000008</v>
      </c>
      <c r="E14" s="36"/>
      <c r="F14" s="43" t="s">
        <v>57</v>
      </c>
      <c r="G14" s="44">
        <f>+SUMPRODUCT(B2:B12,G2:G12)/R2</f>
        <v>232.90668880792441</v>
      </c>
      <c r="H14" s="35"/>
      <c r="FK14" s="32">
        <v>12</v>
      </c>
      <c r="FL14" s="41">
        <v>10.356164383561643</v>
      </c>
      <c r="FM14" s="41">
        <v>13.383501065186708</v>
      </c>
      <c r="FN14" s="41"/>
      <c r="FO14" s="41"/>
      <c r="FP14" s="41"/>
      <c r="FQ14" s="41">
        <v>10.956521739130435</v>
      </c>
      <c r="FR14" s="41"/>
      <c r="FS14" s="41">
        <v>13.35</v>
      </c>
    </row>
    <row r="15" spans="1:176">
      <c r="B15" s="36"/>
      <c r="C15" s="36">
        <f>+C14*0.98</f>
        <v>31.044830431999998</v>
      </c>
      <c r="D15" s="36"/>
      <c r="E15" s="36"/>
      <c r="J15" s="32" t="s">
        <v>237</v>
      </c>
      <c r="FK15" s="32">
        <v>13</v>
      </c>
      <c r="FL15" s="41">
        <v>11.21917808219178</v>
      </c>
      <c r="FM15" s="41">
        <v>13.082154501653358</v>
      </c>
      <c r="FN15" s="41"/>
      <c r="FO15" s="41"/>
      <c r="FP15" s="41"/>
      <c r="FQ15" s="41">
        <v>9.2173913043478262</v>
      </c>
      <c r="FR15" s="41">
        <v>14</v>
      </c>
      <c r="FS15" s="41">
        <v>14</v>
      </c>
    </row>
    <row r="16" spans="1:176" ht="14.4" thickBot="1">
      <c r="A16" s="33" t="s">
        <v>212</v>
      </c>
      <c r="B16" s="34">
        <f>+D14*1000</f>
        <v>3185.4600000000009</v>
      </c>
      <c r="C16" s="45"/>
      <c r="D16" s="46"/>
      <c r="J16" s="32" t="s">
        <v>238</v>
      </c>
      <c r="W16" s="32">
        <v>1.4283999999999999</v>
      </c>
      <c r="FK16" s="32">
        <v>14</v>
      </c>
      <c r="FL16" s="41">
        <v>12.082191780821919</v>
      </c>
      <c r="FM16" s="41">
        <v>12.780807938120009</v>
      </c>
      <c r="FN16" s="41"/>
      <c r="FO16" s="41"/>
      <c r="FP16" s="41"/>
      <c r="FQ16" s="41">
        <v>7.4782608695652177</v>
      </c>
      <c r="FR16" s="41">
        <v>14</v>
      </c>
      <c r="FS16" s="41"/>
    </row>
    <row r="17" spans="1:175">
      <c r="A17" s="35" t="s">
        <v>5</v>
      </c>
      <c r="B17" s="40">
        <f>+G75</f>
        <v>424.91537400000004</v>
      </c>
      <c r="C17" s="38"/>
      <c r="D17" s="80"/>
      <c r="E17" s="69">
        <v>56</v>
      </c>
      <c r="F17" s="69"/>
      <c r="G17" s="69">
        <v>16</v>
      </c>
      <c r="H17" s="69"/>
      <c r="I17" s="70">
        <f>+E17+G17</f>
        <v>72</v>
      </c>
      <c r="U17" s="36"/>
      <c r="V17" s="32" t="s">
        <v>211</v>
      </c>
      <c r="FK17" s="32">
        <v>14.6</v>
      </c>
      <c r="FL17" s="41">
        <v>12.6</v>
      </c>
      <c r="FM17" s="41">
        <v>12.6</v>
      </c>
      <c r="FN17" s="41">
        <v>12.6</v>
      </c>
      <c r="FO17" s="41">
        <v>12.599999543146557</v>
      </c>
      <c r="FP17" s="41"/>
      <c r="FQ17" s="41">
        <v>6.4347826086956532</v>
      </c>
      <c r="FR17" s="41">
        <v>14</v>
      </c>
      <c r="FS17" s="41"/>
    </row>
    <row r="18" spans="1:175">
      <c r="A18" s="35" t="s">
        <v>106</v>
      </c>
      <c r="B18" s="47">
        <f>+F75</f>
        <v>122.24730600000001</v>
      </c>
      <c r="C18" s="48"/>
      <c r="D18" s="81" t="s">
        <v>124</v>
      </c>
      <c r="E18" s="71" t="s">
        <v>138</v>
      </c>
      <c r="F18" s="87" t="s">
        <v>125</v>
      </c>
      <c r="G18" s="71" t="s">
        <v>75</v>
      </c>
      <c r="H18" s="87" t="s">
        <v>126</v>
      </c>
      <c r="I18" s="72" t="s">
        <v>35</v>
      </c>
      <c r="FK18" s="32">
        <v>15</v>
      </c>
      <c r="FL18" s="41"/>
      <c r="FM18" s="41"/>
      <c r="FN18" s="41">
        <v>11.68148148148148</v>
      </c>
      <c r="FO18" s="41">
        <v>12.573266874402533</v>
      </c>
      <c r="FP18" s="41"/>
      <c r="FQ18" s="41">
        <v>5.7</v>
      </c>
      <c r="FR18" s="41">
        <v>14</v>
      </c>
      <c r="FS18" s="41"/>
    </row>
    <row r="19" spans="1:175">
      <c r="A19" s="35" t="s">
        <v>23</v>
      </c>
      <c r="B19" s="40">
        <f>+D75</f>
        <v>340.58544600000005</v>
      </c>
      <c r="C19" s="38"/>
      <c r="D19" s="82"/>
      <c r="E19" s="74">
        <f>+I19*E17/I17</f>
        <v>311.11111111111109</v>
      </c>
      <c r="F19" s="71"/>
      <c r="G19" s="74">
        <f>+I19*G17/I17</f>
        <v>88.888888888888886</v>
      </c>
      <c r="H19" s="71"/>
      <c r="I19" s="86">
        <v>400</v>
      </c>
      <c r="V19" s="32" t="s">
        <v>168</v>
      </c>
      <c r="FK19" s="32">
        <v>16</v>
      </c>
      <c r="FL19" s="41"/>
      <c r="FM19" s="41"/>
      <c r="FN19" s="41">
        <v>9.3851851851851844</v>
      </c>
      <c r="FO19" s="41">
        <v>12.50643520254247</v>
      </c>
      <c r="FP19" s="41"/>
      <c r="FQ19" s="41">
        <v>4</v>
      </c>
      <c r="FR19" s="41">
        <v>14</v>
      </c>
      <c r="FS19" s="41"/>
    </row>
    <row r="20" spans="1:175" ht="14.4" thickBot="1">
      <c r="A20" s="35" t="s">
        <v>107</v>
      </c>
      <c r="B20" s="40">
        <f>+E75</f>
        <v>65.938308000000006</v>
      </c>
      <c r="D20" s="76"/>
      <c r="E20" s="83"/>
      <c r="F20" s="83"/>
      <c r="G20" s="78">
        <f>+G19/1.4284</f>
        <v>62.229689784996424</v>
      </c>
      <c r="H20" s="77"/>
      <c r="I20" s="84"/>
      <c r="FK20" s="32">
        <v>17</v>
      </c>
      <c r="FL20" s="41"/>
      <c r="FM20" s="41"/>
      <c r="FN20" s="41">
        <v>7.0888888888888877</v>
      </c>
      <c r="FO20" s="41">
        <v>12.439603530682406</v>
      </c>
      <c r="FP20" s="41">
        <v>14</v>
      </c>
      <c r="FQ20" s="41">
        <v>3</v>
      </c>
      <c r="FR20" s="41">
        <v>14</v>
      </c>
      <c r="FS20" s="41"/>
    </row>
    <row r="21" spans="1:175" ht="14.4" thickBot="1">
      <c r="A21" s="35" t="s">
        <v>108</v>
      </c>
      <c r="B21" s="40">
        <f>+H75</f>
        <v>28.347840000000012</v>
      </c>
      <c r="G21" s="50"/>
      <c r="FK21" s="32">
        <v>17.3</v>
      </c>
      <c r="FL21" s="41"/>
      <c r="FM21" s="41"/>
      <c r="FN21" s="41">
        <v>6.3999999999999968</v>
      </c>
      <c r="FO21" s="41">
        <v>12.419554029124388</v>
      </c>
      <c r="FP21" s="41">
        <v>13.978684210526316</v>
      </c>
      <c r="FQ21" s="41">
        <v>2.8499999999999996</v>
      </c>
      <c r="FR21" s="41"/>
      <c r="FS21" s="41"/>
    </row>
    <row r="22" spans="1:175">
      <c r="A22" s="35" t="s">
        <v>22</v>
      </c>
      <c r="B22" s="40">
        <f>+K75</f>
        <v>0</v>
      </c>
      <c r="D22" s="239" t="s">
        <v>231</v>
      </c>
      <c r="E22" s="69">
        <v>12</v>
      </c>
      <c r="F22" s="69"/>
      <c r="G22" s="69">
        <v>32</v>
      </c>
      <c r="H22" s="69"/>
      <c r="I22" s="70">
        <f>+E22+G22</f>
        <v>44</v>
      </c>
      <c r="FK22" s="32">
        <v>18</v>
      </c>
      <c r="FL22" s="41"/>
      <c r="FM22" s="41"/>
      <c r="FN22" s="41">
        <v>5.7777777777777786</v>
      </c>
      <c r="FO22" s="41">
        <v>12.372771858822343</v>
      </c>
      <c r="FP22" s="41">
        <v>13.928947368421053</v>
      </c>
      <c r="FQ22" s="41">
        <v>2.5</v>
      </c>
      <c r="FR22" s="41"/>
      <c r="FS22" s="41"/>
    </row>
    <row r="23" spans="1:175" ht="14.4">
      <c r="A23" s="35" t="s">
        <v>141</v>
      </c>
      <c r="B23" s="40">
        <f>+I75</f>
        <v>16.380690000000001</v>
      </c>
      <c r="D23" s="240"/>
      <c r="E23" s="71" t="s">
        <v>139</v>
      </c>
      <c r="F23" s="87" t="s">
        <v>125</v>
      </c>
      <c r="G23" s="71" t="s">
        <v>41</v>
      </c>
      <c r="H23" s="87" t="s">
        <v>126</v>
      </c>
      <c r="I23" s="72" t="s">
        <v>236</v>
      </c>
      <c r="L23" s="158" t="s">
        <v>234</v>
      </c>
      <c r="M23" s="160" t="s">
        <v>232</v>
      </c>
      <c r="N23" s="159" t="s">
        <v>233</v>
      </c>
      <c r="FK23" s="32">
        <v>19</v>
      </c>
      <c r="FL23" s="41"/>
      <c r="FM23" s="41"/>
      <c r="FN23" s="41">
        <v>4.8888888888888902</v>
      </c>
      <c r="FO23" s="41">
        <v>12.30594018696228</v>
      </c>
      <c r="FP23" s="41">
        <v>13.857894736842105</v>
      </c>
      <c r="FQ23" s="41">
        <v>2</v>
      </c>
      <c r="FR23" s="41"/>
      <c r="FS23" s="41"/>
    </row>
    <row r="24" spans="1:175">
      <c r="A24" s="35" t="s">
        <v>24</v>
      </c>
      <c r="B24" s="40">
        <f>+J75</f>
        <v>605.16192000000024</v>
      </c>
      <c r="D24" s="85">
        <v>300</v>
      </c>
      <c r="E24" s="74">
        <f>+D24</f>
        <v>300</v>
      </c>
      <c r="F24" s="71"/>
      <c r="G24" s="74">
        <f>+E24*G22/E22</f>
        <v>800</v>
      </c>
      <c r="H24" s="71"/>
      <c r="I24" s="75"/>
      <c r="L24" s="150" t="s">
        <v>139</v>
      </c>
      <c r="M24" s="155">
        <f>+PPC!AA11</f>
        <v>0.23194000000000001</v>
      </c>
      <c r="N24" s="151">
        <v>0.03</v>
      </c>
      <c r="FK24" s="32">
        <v>20</v>
      </c>
      <c r="FL24" s="41"/>
      <c r="FM24" s="41"/>
      <c r="FN24" s="41">
        <v>4.0000000000000018</v>
      </c>
      <c r="FO24" s="41">
        <v>12.239108515102217</v>
      </c>
      <c r="FP24" s="41">
        <v>13.786842105263158</v>
      </c>
      <c r="FQ24" s="41">
        <v>1.6923077</v>
      </c>
      <c r="FR24" s="41"/>
      <c r="FS24" s="41"/>
    </row>
    <row r="25" spans="1:175" ht="14.4" thickBot="1">
      <c r="A25" s="35"/>
      <c r="B25" s="51">
        <f>SUM(B17:B24)</f>
        <v>1603.5768840000003</v>
      </c>
      <c r="D25" s="76"/>
      <c r="E25" s="77"/>
      <c r="F25" s="77"/>
      <c r="G25" s="78">
        <f>+G24/1.4284</f>
        <v>560.06720806496787</v>
      </c>
      <c r="H25" s="77"/>
      <c r="I25" s="79"/>
      <c r="L25" s="150" t="s">
        <v>74</v>
      </c>
      <c r="M25" s="155">
        <f>+PPC!AB11</f>
        <v>0.53100000000000014</v>
      </c>
      <c r="N25" s="151">
        <v>0.06</v>
      </c>
      <c r="FK25" s="32">
        <v>21</v>
      </c>
      <c r="FL25" s="41"/>
      <c r="FM25" s="41"/>
      <c r="FN25" s="41">
        <v>3.6923076923076925</v>
      </c>
      <c r="FO25" s="41">
        <v>12.172276843242152</v>
      </c>
      <c r="FP25" s="41">
        <v>13.715789473684211</v>
      </c>
      <c r="FQ25" s="41">
        <v>1.3846153999999999</v>
      </c>
      <c r="FR25" s="41"/>
      <c r="FS25" s="41"/>
    </row>
    <row r="26" spans="1:175" ht="14.4" thickBot="1">
      <c r="A26" s="52" t="s">
        <v>58</v>
      </c>
      <c r="B26" s="68">
        <v>700</v>
      </c>
      <c r="L26" s="150" t="s">
        <v>136</v>
      </c>
      <c r="M26" s="155">
        <f>+PPC!AC11</f>
        <v>0.16318000000000002</v>
      </c>
      <c r="N26" s="151">
        <v>0</v>
      </c>
      <c r="FK26" s="32">
        <v>22</v>
      </c>
      <c r="FL26" s="41"/>
      <c r="FM26" s="41"/>
      <c r="FN26" s="41">
        <v>3.3846153846153846</v>
      </c>
      <c r="FO26" s="41">
        <v>12.10544517138209</v>
      </c>
      <c r="FP26" s="41">
        <v>13.644736842105264</v>
      </c>
      <c r="FQ26" s="41">
        <v>1.0769231000000001</v>
      </c>
      <c r="FR26" s="41"/>
      <c r="FS26" s="41"/>
    </row>
    <row r="27" spans="1:175">
      <c r="A27" s="52" t="s">
        <v>28</v>
      </c>
      <c r="B27" s="68">
        <v>0</v>
      </c>
      <c r="D27" s="239" t="s">
        <v>50</v>
      </c>
      <c r="E27" s="69">
        <v>12</v>
      </c>
      <c r="F27" s="69"/>
      <c r="G27" s="69">
        <v>16</v>
      </c>
      <c r="H27" s="69"/>
      <c r="I27" s="70">
        <f>+E27+G27</f>
        <v>28</v>
      </c>
      <c r="L27" s="150" t="s">
        <v>226</v>
      </c>
      <c r="M27" s="156">
        <f>+PPC!AD11</f>
        <v>2.742E-2</v>
      </c>
      <c r="N27" s="152">
        <v>0.02</v>
      </c>
      <c r="FK27" s="32">
        <v>23</v>
      </c>
      <c r="FL27" s="41"/>
      <c r="FM27" s="41"/>
      <c r="FN27" s="41">
        <v>3.0769230769230766</v>
      </c>
      <c r="FO27" s="41">
        <v>12.038613499522025</v>
      </c>
      <c r="FP27" s="41">
        <v>13.573684210526316</v>
      </c>
      <c r="FQ27" s="41">
        <v>0.7692308000000001</v>
      </c>
      <c r="FR27" s="41"/>
      <c r="FS27" s="41"/>
    </row>
    <row r="28" spans="1:175">
      <c r="A28" s="32" t="s">
        <v>29</v>
      </c>
      <c r="B28" s="40">
        <f>+B27*0.58+B26*0.86</f>
        <v>602</v>
      </c>
      <c r="D28" s="240"/>
      <c r="E28" s="71" t="s">
        <v>139</v>
      </c>
      <c r="F28" s="87" t="s">
        <v>125</v>
      </c>
      <c r="G28" s="71" t="s">
        <v>35</v>
      </c>
      <c r="H28" s="87" t="s">
        <v>126</v>
      </c>
      <c r="I28" s="72" t="s">
        <v>140</v>
      </c>
      <c r="L28" s="150" t="s">
        <v>227</v>
      </c>
      <c r="M28" s="156">
        <f>+PPC!AE11</f>
        <v>0.15330000000000002</v>
      </c>
      <c r="N28" s="152">
        <v>0.12</v>
      </c>
      <c r="FK28" s="32">
        <v>24</v>
      </c>
      <c r="FL28" s="41"/>
      <c r="FM28" s="41"/>
      <c r="FN28" s="41">
        <v>2.7692307692307692</v>
      </c>
      <c r="FO28" s="41">
        <v>11.971781827661964</v>
      </c>
      <c r="FP28" s="41">
        <v>13.502631578947369</v>
      </c>
      <c r="FQ28" s="41">
        <v>0.46153850000000007</v>
      </c>
      <c r="FR28" s="41"/>
      <c r="FS28" s="41"/>
    </row>
    <row r="29" spans="1:175">
      <c r="A29" s="32" t="s">
        <v>30</v>
      </c>
      <c r="B29" s="40">
        <f>+B27*0.32</f>
        <v>0</v>
      </c>
      <c r="D29" s="85">
        <v>320</v>
      </c>
      <c r="E29" s="74">
        <f>+D29*0.78*0.85</f>
        <v>212.16000000000003</v>
      </c>
      <c r="F29" s="71"/>
      <c r="G29" s="74">
        <f>+E29*G27/E27</f>
        <v>282.88000000000005</v>
      </c>
      <c r="H29" s="71"/>
      <c r="I29" s="75"/>
      <c r="L29" s="150" t="s">
        <v>100</v>
      </c>
      <c r="M29" s="156">
        <f>+PPC!AF11</f>
        <v>3.6580000000000008E-2</v>
      </c>
      <c r="N29" s="152">
        <v>0.04</v>
      </c>
      <c r="FK29" s="32">
        <v>25</v>
      </c>
      <c r="FL29" s="41"/>
      <c r="FM29" s="41"/>
      <c r="FN29" s="41">
        <v>2.4615384615384617</v>
      </c>
      <c r="FO29" s="41">
        <v>11.904950155801899</v>
      </c>
      <c r="FP29" s="41">
        <v>13.431578947368422</v>
      </c>
      <c r="FQ29" s="41">
        <v>0.15384620000000027</v>
      </c>
      <c r="FR29" s="41"/>
      <c r="FS29" s="41"/>
    </row>
    <row r="30" spans="1:175" ht="14.4" thickBot="1">
      <c r="A30" s="32" t="s">
        <v>31</v>
      </c>
      <c r="B30" s="40">
        <f>+B27*0.03+B26*0.03</f>
        <v>21</v>
      </c>
      <c r="D30" s="76"/>
      <c r="E30" s="77"/>
      <c r="F30" s="77"/>
      <c r="G30" s="78">
        <f>+G29/1.4284</f>
        <v>198.03976477177267</v>
      </c>
      <c r="H30" s="77"/>
      <c r="I30" s="79"/>
      <c r="L30" s="150" t="s">
        <v>228</v>
      </c>
      <c r="M30" s="156">
        <f>+PPC!AG11</f>
        <v>0.28472000000000003</v>
      </c>
      <c r="N30" s="152">
        <f>+PPC!AH11</f>
        <v>0.15188000000000001</v>
      </c>
      <c r="FK30" s="32">
        <v>26</v>
      </c>
      <c r="FL30" s="41"/>
      <c r="FM30" s="41"/>
      <c r="FN30" s="41">
        <v>2.1538461538461537</v>
      </c>
      <c r="FO30" s="41">
        <v>11.838118483941836</v>
      </c>
      <c r="FP30" s="41">
        <v>13.360526315789473</v>
      </c>
      <c r="FQ30" s="41"/>
      <c r="FR30" s="41"/>
      <c r="FS30" s="41"/>
    </row>
    <row r="31" spans="1:175" ht="14.4" thickBot="1">
      <c r="B31" s="51">
        <f>SUM(B28:B30)</f>
        <v>623</v>
      </c>
      <c r="L31" s="150" t="s">
        <v>229</v>
      </c>
      <c r="M31" s="156">
        <f>+PPC!AH11</f>
        <v>0.15188000000000001</v>
      </c>
      <c r="N31" s="152">
        <f>+PPC!AI11</f>
        <v>3.2259999999999997E-2</v>
      </c>
      <c r="FK31" s="32">
        <v>27</v>
      </c>
      <c r="FL31" s="41"/>
      <c r="FM31" s="41"/>
      <c r="FN31" s="41">
        <v>1.8461538461538463</v>
      </c>
      <c r="FO31" s="41">
        <v>11.771286812081772</v>
      </c>
      <c r="FP31" s="41">
        <v>13.289473684210526</v>
      </c>
      <c r="FQ31" s="41"/>
      <c r="FR31" s="41"/>
      <c r="FS31" s="41"/>
    </row>
    <row r="32" spans="1:175">
      <c r="A32" s="52" t="s">
        <v>36</v>
      </c>
      <c r="B32" s="68">
        <v>0</v>
      </c>
      <c r="D32" s="80" t="s">
        <v>239</v>
      </c>
      <c r="E32" s="69">
        <v>16</v>
      </c>
      <c r="F32" s="69"/>
      <c r="G32" s="69">
        <v>64</v>
      </c>
      <c r="H32" s="69"/>
      <c r="I32" s="70">
        <v>44</v>
      </c>
      <c r="L32" s="153" t="s">
        <v>230</v>
      </c>
      <c r="M32" s="157">
        <f>+PPC!AI11</f>
        <v>3.2259999999999997E-2</v>
      </c>
      <c r="N32" s="154">
        <f>+PPC!AJ11</f>
        <v>0</v>
      </c>
      <c r="FK32" s="32">
        <v>28</v>
      </c>
      <c r="FL32" s="41"/>
      <c r="FM32" s="41"/>
      <c r="FN32" s="41">
        <v>1.5384615384615383</v>
      </c>
      <c r="FO32" s="41">
        <v>11.704455140221709</v>
      </c>
      <c r="FP32" s="41">
        <v>13.218421052631578</v>
      </c>
      <c r="FQ32" s="41"/>
      <c r="FR32" s="41"/>
      <c r="FS32" s="41"/>
    </row>
    <row r="33" spans="1:175">
      <c r="A33" s="52" t="s">
        <v>121</v>
      </c>
      <c r="B33" s="68">
        <v>300</v>
      </c>
      <c r="D33" s="73" t="s">
        <v>240</v>
      </c>
      <c r="E33" s="71" t="s">
        <v>241</v>
      </c>
      <c r="F33" s="87" t="s">
        <v>125</v>
      </c>
      <c r="G33" s="71" t="s">
        <v>242</v>
      </c>
      <c r="H33" s="87" t="s">
        <v>126</v>
      </c>
      <c r="I33" s="72" t="s">
        <v>236</v>
      </c>
      <c r="U33" s="32" t="s">
        <v>29</v>
      </c>
      <c r="V33" s="37">
        <f>+M2/($M$2+$M$3+$M$7)</f>
        <v>0.37462939634046849</v>
      </c>
      <c r="FK33" s="32">
        <v>29</v>
      </c>
      <c r="FL33" s="41"/>
      <c r="FM33" s="41"/>
      <c r="FN33" s="41">
        <v>1.2307692307692308</v>
      </c>
      <c r="FO33" s="41">
        <v>11.637623468361646</v>
      </c>
      <c r="FP33" s="41">
        <v>13.147368421052631</v>
      </c>
      <c r="FQ33" s="41"/>
      <c r="FR33" s="41"/>
      <c r="FS33" s="41"/>
    </row>
    <row r="34" spans="1:175">
      <c r="A34" s="32" t="s">
        <v>30</v>
      </c>
      <c r="B34" s="40">
        <f>+B32*0.8*0.75+B33*0.6</f>
        <v>180</v>
      </c>
      <c r="D34" s="85">
        <v>147</v>
      </c>
      <c r="E34" s="74">
        <f>+D34*0.98</f>
        <v>144.06</v>
      </c>
      <c r="F34" s="71"/>
      <c r="G34" s="74">
        <f>+E34*G32/E32</f>
        <v>576.24</v>
      </c>
      <c r="H34" s="71"/>
      <c r="I34" s="75"/>
      <c r="U34" s="32" t="s">
        <v>35</v>
      </c>
      <c r="V34" s="37">
        <f>+M7/($M$2+$M$3+$M$7)</f>
        <v>0.39950033698486193</v>
      </c>
      <c r="FK34" s="32">
        <v>30</v>
      </c>
      <c r="FL34" s="41"/>
      <c r="FM34" s="41"/>
      <c r="FN34" s="41">
        <v>0.92307692307692291</v>
      </c>
      <c r="FO34" s="41">
        <v>11.570791796501583</v>
      </c>
      <c r="FP34" s="41">
        <v>13.076315789473684</v>
      </c>
      <c r="FQ34" s="41"/>
      <c r="FR34" s="41"/>
      <c r="FS34" s="41"/>
    </row>
    <row r="35" spans="1:175" ht="14.4" thickBot="1">
      <c r="A35" s="32" t="s">
        <v>29</v>
      </c>
      <c r="B35" s="40">
        <f>+B32*0.06</f>
        <v>0</v>
      </c>
      <c r="D35" s="76"/>
      <c r="E35" s="77"/>
      <c r="F35" s="77"/>
      <c r="G35" s="78">
        <f>+G34/1.4284</f>
        <v>403.41640996919637</v>
      </c>
      <c r="H35" s="77"/>
      <c r="I35" s="142">
        <f>+G35*I32/G32</f>
        <v>277.34878185382252</v>
      </c>
      <c r="U35" s="32" t="s">
        <v>31</v>
      </c>
      <c r="V35" s="37">
        <f>+M3/($M$2+$M$3+$M$7)</f>
        <v>0.22587026667466972</v>
      </c>
      <c r="FK35" s="32">
        <v>31</v>
      </c>
      <c r="FL35" s="41"/>
      <c r="FM35" s="41"/>
      <c r="FN35" s="41">
        <v>0.61538461538461542</v>
      </c>
      <c r="FO35" s="41">
        <v>11.50396012464152</v>
      </c>
      <c r="FP35" s="41">
        <v>13.005263157894737</v>
      </c>
      <c r="FQ35" s="41"/>
      <c r="FR35" s="41"/>
      <c r="FS35" s="41"/>
    </row>
    <row r="36" spans="1:175" ht="14.4" thickBot="1">
      <c r="B36" s="51">
        <f>+B32-B34-B35</f>
        <v>-180</v>
      </c>
      <c r="U36" s="53" t="s">
        <v>63</v>
      </c>
      <c r="V36" s="54">
        <v>0.15</v>
      </c>
      <c r="FK36" s="32">
        <v>32</v>
      </c>
      <c r="FL36" s="41"/>
      <c r="FM36" s="41"/>
      <c r="FN36" s="41">
        <v>0.30769230769230749</v>
      </c>
      <c r="FO36" s="41">
        <v>11.437128452781456</v>
      </c>
      <c r="FP36" s="41">
        <v>12.934210526315789</v>
      </c>
      <c r="FQ36" s="41"/>
      <c r="FR36" s="41"/>
      <c r="FS36" s="41"/>
    </row>
    <row r="37" spans="1:175">
      <c r="A37" s="52" t="s">
        <v>122</v>
      </c>
      <c r="B37" s="67">
        <f>+PPC!AB11%*'Horno Eléctrico'!B13*1000</f>
        <v>180.54000000000002</v>
      </c>
      <c r="D37" s="80"/>
      <c r="E37" s="69">
        <v>62</v>
      </c>
      <c r="F37" s="69"/>
      <c r="G37" s="69">
        <v>80</v>
      </c>
      <c r="H37" s="69"/>
      <c r="I37" s="70">
        <v>142</v>
      </c>
      <c r="V37" s="42"/>
      <c r="FK37" s="32">
        <v>33</v>
      </c>
      <c r="FL37" s="41"/>
      <c r="FM37" s="41"/>
      <c r="FN37" s="41">
        <v>0</v>
      </c>
      <c r="FO37" s="41">
        <v>11.370296780921393</v>
      </c>
      <c r="FP37" s="41">
        <v>12.863157894736842</v>
      </c>
      <c r="FQ37" s="41"/>
      <c r="FR37" s="41"/>
      <c r="FS37" s="41"/>
    </row>
    <row r="38" spans="1:175">
      <c r="A38" s="33" t="s">
        <v>123</v>
      </c>
      <c r="B38" s="67">
        <f>+I44</f>
        <v>171.98652727272727</v>
      </c>
      <c r="D38" s="82" t="s">
        <v>133</v>
      </c>
      <c r="E38" s="71" t="s">
        <v>131</v>
      </c>
      <c r="F38" s="87" t="s">
        <v>125</v>
      </c>
      <c r="G38" s="71" t="s">
        <v>134</v>
      </c>
      <c r="H38" s="87" t="s">
        <v>126</v>
      </c>
      <c r="I38" s="72" t="s">
        <v>102</v>
      </c>
      <c r="L38" s="35"/>
      <c r="FK38" s="32">
        <v>34</v>
      </c>
      <c r="FL38" s="41"/>
      <c r="FM38" s="41"/>
      <c r="FN38" s="41"/>
      <c r="FO38" s="41">
        <v>11.30346510906133</v>
      </c>
      <c r="FP38" s="41">
        <v>12.792105263157895</v>
      </c>
      <c r="FQ38" s="41"/>
      <c r="FR38" s="41"/>
      <c r="FS38" s="41"/>
    </row>
    <row r="39" spans="1:175">
      <c r="A39" s="88" t="s">
        <v>128</v>
      </c>
      <c r="B39" s="90">
        <f>+B13*0.07%*1000</f>
        <v>23.8</v>
      </c>
      <c r="C39" s="99">
        <f>+B39/R2/1000</f>
        <v>7.6427283970348337E-4</v>
      </c>
      <c r="D39" s="82"/>
      <c r="E39" s="74">
        <f>+B14*1000*(M27-N27)%</f>
        <v>2.5228000000000002</v>
      </c>
      <c r="F39" s="71"/>
      <c r="G39" s="74">
        <f>+E39*0.6/E37*G37</f>
        <v>1.953135483870968</v>
      </c>
      <c r="H39" s="71"/>
      <c r="I39" s="75">
        <f>+G39/G37*I37</f>
        <v>3.4668154838709682</v>
      </c>
      <c r="L39" s="35"/>
      <c r="FK39" s="32">
        <v>35</v>
      </c>
      <c r="FL39" s="41"/>
      <c r="FM39" s="41"/>
      <c r="FN39" s="41"/>
      <c r="FO39" s="41">
        <v>11.236633437201267</v>
      </c>
      <c r="FP39" s="41">
        <v>12.721052631578948</v>
      </c>
      <c r="FQ39" s="41"/>
      <c r="FR39" s="41"/>
      <c r="FS39" s="41"/>
    </row>
    <row r="40" spans="1:175" ht="14.4" thickBot="1">
      <c r="A40" s="89" t="s">
        <v>137</v>
      </c>
      <c r="B40" s="90">
        <f>+B22+((D24+D29)*0.008)</f>
        <v>4.96</v>
      </c>
      <c r="C40" s="99">
        <f>+B40/R2/1000</f>
        <v>1.5927702877854106E-4</v>
      </c>
      <c r="D40" s="76"/>
      <c r="E40" s="77"/>
      <c r="F40" s="77"/>
      <c r="G40" s="78">
        <f>+G39/1.4284</f>
        <v>1.3673589217802913</v>
      </c>
      <c r="H40" s="77"/>
      <c r="I40" s="79"/>
      <c r="L40" s="35" t="s">
        <v>245</v>
      </c>
      <c r="FK40" s="32">
        <v>36</v>
      </c>
      <c r="FL40" s="41"/>
      <c r="FM40" s="41"/>
      <c r="FN40" s="41"/>
      <c r="FO40" s="41">
        <v>11.169801765341203</v>
      </c>
      <c r="FP40" s="41">
        <v>12.65</v>
      </c>
      <c r="FQ40" s="41"/>
      <c r="FR40" s="41"/>
      <c r="FS40" s="41"/>
    </row>
    <row r="41" spans="1:175" ht="14.4" thickBot="1">
      <c r="A41" s="89" t="s">
        <v>129</v>
      </c>
      <c r="B41" s="90">
        <f>+E39*0.4</f>
        <v>1.00912</v>
      </c>
      <c r="C41" s="99">
        <f>+B41/R2/1000</f>
        <v>3.240516840342769E-5</v>
      </c>
      <c r="L41" s="105" t="s">
        <v>139</v>
      </c>
      <c r="M41" s="105" t="s">
        <v>74</v>
      </c>
      <c r="N41" s="105" t="s">
        <v>136</v>
      </c>
      <c r="O41" s="105" t="s">
        <v>226</v>
      </c>
      <c r="P41" s="105" t="s">
        <v>227</v>
      </c>
      <c r="Q41" s="105" t="s">
        <v>100</v>
      </c>
      <c r="R41" s="105" t="s">
        <v>228</v>
      </c>
      <c r="S41" s="105" t="s">
        <v>229</v>
      </c>
      <c r="T41" s="105" t="s">
        <v>230</v>
      </c>
      <c r="FK41" s="32">
        <v>37</v>
      </c>
      <c r="FL41" s="41"/>
      <c r="FM41" s="41"/>
      <c r="FN41" s="41"/>
      <c r="FO41" s="41">
        <v>11.10297009348114</v>
      </c>
      <c r="FP41" s="41">
        <v>12.578947368421053</v>
      </c>
      <c r="FQ41" s="41"/>
      <c r="FR41" s="41"/>
      <c r="FS41" s="41"/>
    </row>
    <row r="42" spans="1:175">
      <c r="D42" s="80"/>
      <c r="E42" s="69">
        <v>55</v>
      </c>
      <c r="F42" s="69"/>
      <c r="G42" s="69">
        <v>16</v>
      </c>
      <c r="H42" s="69"/>
      <c r="I42" s="70">
        <v>71</v>
      </c>
      <c r="L42" s="38">
        <f>+PPC!AA11</f>
        <v>0.23194000000000001</v>
      </c>
      <c r="M42" s="38">
        <f>+PPC!AB11</f>
        <v>0.53100000000000014</v>
      </c>
      <c r="N42" s="38">
        <f>+PPC!AC11</f>
        <v>0.16318000000000002</v>
      </c>
      <c r="O42" s="38">
        <f>+PPC!AD11</f>
        <v>2.742E-2</v>
      </c>
      <c r="P42" s="38">
        <f>+PPC!AE11</f>
        <v>0.15330000000000002</v>
      </c>
      <c r="Q42" s="38">
        <f>+PPC!AF11</f>
        <v>3.6580000000000008E-2</v>
      </c>
      <c r="R42" s="38">
        <f>+PPC!AG11</f>
        <v>0.28472000000000003</v>
      </c>
      <c r="S42" s="38">
        <f>+PPC!AH11</f>
        <v>0.15188000000000001</v>
      </c>
      <c r="T42" s="38">
        <f>+PPC!AI11</f>
        <v>3.2259999999999997E-2</v>
      </c>
      <c r="FK42" s="32">
        <v>38</v>
      </c>
      <c r="FL42" s="41"/>
      <c r="FM42" s="41"/>
      <c r="FN42" s="41"/>
      <c r="FO42" s="41">
        <v>11.036138421621077</v>
      </c>
      <c r="FP42" s="41">
        <v>12.507894736842106</v>
      </c>
      <c r="FQ42" s="41"/>
      <c r="FR42" s="41"/>
      <c r="FS42" s="41"/>
    </row>
    <row r="43" spans="1:175">
      <c r="D43" s="82" t="s">
        <v>130</v>
      </c>
      <c r="E43" s="71" t="s">
        <v>74</v>
      </c>
      <c r="F43" s="87" t="s">
        <v>125</v>
      </c>
      <c r="G43" s="71" t="s">
        <v>75</v>
      </c>
      <c r="H43" s="87" t="s">
        <v>126</v>
      </c>
      <c r="I43" s="72" t="s">
        <v>34</v>
      </c>
      <c r="FK43" s="32">
        <v>39</v>
      </c>
      <c r="FL43" s="41"/>
      <c r="FM43" s="41"/>
      <c r="FN43" s="41"/>
      <c r="FO43" s="41">
        <v>10.969306749761014</v>
      </c>
      <c r="FP43" s="41">
        <v>12.436842105263159</v>
      </c>
      <c r="FQ43" s="41"/>
      <c r="FR43" s="41"/>
      <c r="FS43" s="41"/>
    </row>
    <row r="44" spans="1:175">
      <c r="D44" s="82"/>
      <c r="E44" s="74">
        <f>+B37-B39</f>
        <v>156.74</v>
      </c>
      <c r="F44" s="71"/>
      <c r="G44" s="74">
        <f>+E44*0.85/E42*G42</f>
        <v>38.757527272727273</v>
      </c>
      <c r="H44" s="71"/>
      <c r="I44" s="75">
        <f>+G44/G42*I42</f>
        <v>171.98652727272727</v>
      </c>
      <c r="L44" s="32" t="s">
        <v>139</v>
      </c>
      <c r="M44" s="32" t="s">
        <v>125</v>
      </c>
      <c r="N44" s="32" t="s">
        <v>246</v>
      </c>
      <c r="O44" s="32" t="s">
        <v>126</v>
      </c>
      <c r="P44" s="32" t="s">
        <v>236</v>
      </c>
      <c r="FK44" s="32">
        <v>40</v>
      </c>
      <c r="FL44" s="41"/>
      <c r="FM44" s="41"/>
      <c r="FN44" s="41"/>
      <c r="FO44" s="41">
        <v>10.90247507790095</v>
      </c>
      <c r="FP44" s="41">
        <v>12.36578947368421</v>
      </c>
      <c r="FQ44" s="41"/>
      <c r="FR44" s="41"/>
      <c r="FS44" s="41"/>
    </row>
    <row r="45" spans="1:175" ht="14.4" thickBot="1">
      <c r="D45" s="76"/>
      <c r="E45" s="77"/>
      <c r="F45" s="77"/>
      <c r="G45" s="78">
        <f>+G44/1.4284</f>
        <v>27.133525113922765</v>
      </c>
      <c r="H45" s="77"/>
      <c r="I45" s="79"/>
      <c r="L45" s="40">
        <f>+C14*L42%*1000</f>
        <v>73.474877248959999</v>
      </c>
      <c r="N45" s="40">
        <f>+L45/12*32</f>
        <v>195.93300599722667</v>
      </c>
      <c r="P45" s="40">
        <f>+L45/12*44</f>
        <v>269.40788324618666</v>
      </c>
      <c r="FK45" s="32">
        <v>41</v>
      </c>
      <c r="FL45" s="41"/>
      <c r="FM45" s="41"/>
      <c r="FN45" s="41"/>
      <c r="FO45" s="41">
        <v>10.835643406040887</v>
      </c>
      <c r="FP45" s="41">
        <v>12.294736842105262</v>
      </c>
      <c r="FQ45" s="41"/>
      <c r="FR45" s="41"/>
      <c r="FS45" s="41"/>
    </row>
    <row r="46" spans="1:175" ht="14.4" thickBot="1">
      <c r="D46" s="71"/>
      <c r="E46" s="71"/>
      <c r="F46" s="71"/>
      <c r="G46" s="91"/>
      <c r="H46" s="71"/>
      <c r="I46" s="71"/>
      <c r="L46" s="35"/>
      <c r="FK46" s="32">
        <v>42</v>
      </c>
      <c r="FL46" s="41"/>
      <c r="FM46" s="41"/>
      <c r="FN46" s="41"/>
      <c r="FO46" s="41">
        <v>10.768811734180824</v>
      </c>
      <c r="FP46" s="41">
        <v>12.223684210526315</v>
      </c>
      <c r="FQ46" s="41"/>
      <c r="FR46" s="41"/>
      <c r="FS46" s="41"/>
    </row>
    <row r="47" spans="1:175">
      <c r="D47" s="80"/>
      <c r="E47" s="69">
        <v>28</v>
      </c>
      <c r="F47" s="69"/>
      <c r="G47" s="69">
        <v>32</v>
      </c>
      <c r="H47" s="69"/>
      <c r="I47" s="70">
        <f>+E47+G47</f>
        <v>60</v>
      </c>
      <c r="L47" s="32" t="s">
        <v>74</v>
      </c>
      <c r="M47" s="32" t="s">
        <v>125</v>
      </c>
      <c r="N47" s="32" t="s">
        <v>75</v>
      </c>
      <c r="O47" s="32" t="s">
        <v>126</v>
      </c>
      <c r="P47" s="32" t="s">
        <v>34</v>
      </c>
      <c r="FK47" s="32">
        <v>43</v>
      </c>
      <c r="FL47" s="41"/>
      <c r="FM47" s="41"/>
      <c r="FN47" s="41"/>
      <c r="FO47" s="41">
        <v>10.701980062320761</v>
      </c>
      <c r="FP47" s="41">
        <v>12.152631578947368</v>
      </c>
      <c r="FQ47" s="41"/>
      <c r="FR47" s="41"/>
      <c r="FS47" s="41"/>
    </row>
    <row r="48" spans="1:175">
      <c r="D48" s="82" t="s">
        <v>135</v>
      </c>
      <c r="E48" s="71" t="s">
        <v>136</v>
      </c>
      <c r="F48" s="87" t="s">
        <v>125</v>
      </c>
      <c r="G48" s="71" t="s">
        <v>132</v>
      </c>
      <c r="H48" s="87" t="s">
        <v>126</v>
      </c>
      <c r="I48" s="72" t="s">
        <v>31</v>
      </c>
      <c r="L48" s="40">
        <f>+C14*1000*(M42-0.1)%</f>
        <v>136.53389710400003</v>
      </c>
      <c r="N48" s="40">
        <f>+L48/55*16</f>
        <v>39.718951884800006</v>
      </c>
      <c r="P48" s="40">
        <f>+L48/55*71</f>
        <v>176.25284898880003</v>
      </c>
      <c r="FK48" s="32">
        <v>44</v>
      </c>
      <c r="FL48" s="41"/>
      <c r="FM48" s="41"/>
      <c r="FN48" s="41"/>
      <c r="FO48" s="41">
        <v>10.635148390460696</v>
      </c>
      <c r="FP48" s="41">
        <v>12.081578947368421</v>
      </c>
      <c r="FQ48" s="41"/>
      <c r="FR48" s="41"/>
      <c r="FS48" s="41"/>
    </row>
    <row r="49" spans="2:176">
      <c r="D49" s="82"/>
      <c r="E49" s="74">
        <f>+PPC!AC13</f>
        <v>57.113000000000007</v>
      </c>
      <c r="F49" s="71"/>
      <c r="G49" s="74">
        <f>+E49*0.85/E47*G47</f>
        <v>55.481200000000001</v>
      </c>
      <c r="H49" s="71"/>
      <c r="I49" s="75">
        <f>+E49/E47*I47</f>
        <v>122.38500000000001</v>
      </c>
      <c r="FK49" s="32">
        <v>45</v>
      </c>
      <c r="FL49" s="41"/>
      <c r="FM49" s="41"/>
      <c r="FN49" s="41"/>
      <c r="FO49" s="41">
        <v>10.568316718600634</v>
      </c>
      <c r="FP49" s="41">
        <v>12.010526315789473</v>
      </c>
      <c r="FQ49" s="41"/>
      <c r="FR49" s="41"/>
      <c r="FS49" s="41"/>
    </row>
    <row r="50" spans="2:176" ht="14.4" thickBot="1">
      <c r="D50" s="76"/>
      <c r="E50" s="77"/>
      <c r="F50" s="77"/>
      <c r="G50" s="78">
        <f>+G49/1.4284</f>
        <v>38.841500980117615</v>
      </c>
      <c r="H50" s="77"/>
      <c r="I50" s="79"/>
      <c r="L50" s="32" t="s">
        <v>136</v>
      </c>
      <c r="M50" s="32" t="s">
        <v>125</v>
      </c>
      <c r="N50" s="32" t="s">
        <v>246</v>
      </c>
      <c r="O50" s="32" t="s">
        <v>126</v>
      </c>
      <c r="P50" s="32" t="s">
        <v>31</v>
      </c>
      <c r="FK50" s="32">
        <v>46</v>
      </c>
      <c r="FL50" s="41"/>
      <c r="FM50" s="41"/>
      <c r="FN50" s="41"/>
      <c r="FO50" s="41">
        <v>10.501485046740569</v>
      </c>
      <c r="FP50" s="41">
        <v>11.939473684210526</v>
      </c>
      <c r="FQ50" s="41"/>
      <c r="FR50" s="41"/>
      <c r="FS50" s="41"/>
    </row>
    <row r="51" spans="2:176" ht="14.4" thickBot="1">
      <c r="D51" s="71"/>
      <c r="E51" s="71"/>
      <c r="F51" s="71"/>
      <c r="G51" s="91"/>
      <c r="H51" s="71"/>
      <c r="I51" s="71"/>
      <c r="L51" s="40">
        <f>+C14*1000*N42%</f>
        <v>51.692810509120001</v>
      </c>
      <c r="N51" s="40">
        <f>+L51/28*32</f>
        <v>59.077497724708572</v>
      </c>
      <c r="P51" s="40">
        <f>+L51/28*60</f>
        <v>110.77030823382857</v>
      </c>
      <c r="FK51" s="32">
        <v>47</v>
      </c>
      <c r="FL51" s="41"/>
      <c r="FM51" s="41"/>
      <c r="FN51" s="41"/>
      <c r="FO51" s="41">
        <v>10.434653374880506</v>
      </c>
      <c r="FP51" s="41">
        <v>11.868421052631579</v>
      </c>
      <c r="FQ51" s="41"/>
      <c r="FR51" s="41"/>
      <c r="FS51" s="41"/>
    </row>
    <row r="52" spans="2:176">
      <c r="D52" s="80"/>
      <c r="E52" s="69">
        <f>2*27</f>
        <v>54</v>
      </c>
      <c r="F52" s="69"/>
      <c r="G52" s="69">
        <f>16*3</f>
        <v>48</v>
      </c>
      <c r="H52" s="69"/>
      <c r="I52" s="70">
        <f>+E52+G52</f>
        <v>102</v>
      </c>
      <c r="FK52" s="32">
        <v>48</v>
      </c>
      <c r="FL52" s="41"/>
      <c r="FM52" s="41"/>
      <c r="FN52" s="41"/>
      <c r="FO52" s="41">
        <v>10.367821703020443</v>
      </c>
      <c r="FP52" s="41">
        <v>11.797368421052632</v>
      </c>
      <c r="FQ52" s="41"/>
      <c r="FR52" s="41"/>
      <c r="FS52" s="41"/>
    </row>
    <row r="53" spans="2:176">
      <c r="D53" s="82" t="s">
        <v>160</v>
      </c>
      <c r="E53" s="71" t="s">
        <v>161</v>
      </c>
      <c r="F53" s="87" t="s">
        <v>125</v>
      </c>
      <c r="G53" s="71" t="s">
        <v>162</v>
      </c>
      <c r="H53" s="87" t="s">
        <v>126</v>
      </c>
      <c r="I53" s="72" t="s">
        <v>33</v>
      </c>
      <c r="FK53" s="32">
        <v>49</v>
      </c>
      <c r="FL53" s="41"/>
      <c r="FM53" s="41"/>
      <c r="FN53" s="41"/>
      <c r="FO53" s="41">
        <v>10.30099003116038</v>
      </c>
      <c r="FP53" s="41">
        <v>11.726315789473684</v>
      </c>
      <c r="FQ53" s="41"/>
      <c r="FR53" s="41"/>
      <c r="FS53" s="41"/>
    </row>
    <row r="54" spans="2:176">
      <c r="D54" s="82"/>
      <c r="E54" s="74">
        <f>+B13*1000*0.1%</f>
        <v>34</v>
      </c>
      <c r="F54" s="71"/>
      <c r="G54" s="74">
        <f>+E54*0.85/E52*G52</f>
        <v>25.68888888888889</v>
      </c>
      <c r="H54" s="71"/>
      <c r="I54" s="75">
        <f>+G54/G52*I52</f>
        <v>54.588888888888889</v>
      </c>
      <c r="FK54" s="32">
        <v>50</v>
      </c>
      <c r="FL54" s="41"/>
      <c r="FM54" s="41"/>
      <c r="FN54" s="41"/>
      <c r="FO54" s="41">
        <v>10.234158359300316</v>
      </c>
      <c r="FP54" s="41">
        <v>11.655263157894737</v>
      </c>
      <c r="FQ54" s="41"/>
      <c r="FR54" s="41"/>
      <c r="FS54" s="41"/>
    </row>
    <row r="55" spans="2:176" ht="14.4" thickBot="1">
      <c r="D55" s="76"/>
      <c r="E55" s="77"/>
      <c r="F55" s="77"/>
      <c r="G55" s="78">
        <f>+G54/1.4284</f>
        <v>17.984380347863969</v>
      </c>
      <c r="H55" s="77"/>
      <c r="I55" s="79"/>
      <c r="FK55" s="32">
        <v>51</v>
      </c>
      <c r="FL55" s="41"/>
      <c r="FM55" s="41"/>
      <c r="FN55" s="41"/>
      <c r="FO55" s="41">
        <v>10.167326687440253</v>
      </c>
      <c r="FP55" s="41">
        <v>11.58421052631579</v>
      </c>
      <c r="FQ55" s="41"/>
      <c r="FR55" s="41"/>
      <c r="FS55" s="41"/>
    </row>
    <row r="56" spans="2:176">
      <c r="D56" s="71"/>
      <c r="E56" s="71"/>
      <c r="F56" s="71"/>
      <c r="G56" s="91"/>
      <c r="H56" s="71"/>
      <c r="I56" s="71"/>
      <c r="FK56" s="32">
        <v>52</v>
      </c>
      <c r="FL56" s="41"/>
      <c r="FM56" s="41"/>
      <c r="FN56" s="41"/>
      <c r="FO56" s="41">
        <v>10.10049501558019</v>
      </c>
      <c r="FP56" s="41">
        <v>11.513157894736842</v>
      </c>
      <c r="FQ56" s="41"/>
      <c r="FR56" s="41"/>
      <c r="FS56" s="41"/>
    </row>
    <row r="57" spans="2:176">
      <c r="D57" s="71"/>
      <c r="E57" s="71"/>
      <c r="F57" s="71"/>
      <c r="G57" s="91"/>
      <c r="H57" s="71"/>
      <c r="I57" s="71"/>
      <c r="FK57" s="32">
        <v>53</v>
      </c>
      <c r="FL57" s="41"/>
      <c r="FM57" s="41"/>
      <c r="FN57" s="41"/>
      <c r="FO57" s="41">
        <v>10.033663343720127</v>
      </c>
      <c r="FP57" s="41">
        <v>11.442105263157895</v>
      </c>
      <c r="FQ57" s="41"/>
      <c r="FR57" s="41"/>
      <c r="FS57" s="41"/>
    </row>
    <row r="58" spans="2:176">
      <c r="D58" s="71"/>
      <c r="E58" s="71"/>
      <c r="F58" s="71"/>
      <c r="G58" s="91"/>
      <c r="H58" s="71"/>
      <c r="I58" s="71"/>
      <c r="FK58" s="32">
        <v>54</v>
      </c>
      <c r="FL58" s="41"/>
      <c r="FM58" s="41"/>
      <c r="FN58" s="41"/>
      <c r="FO58" s="41">
        <v>9.9668316718600636</v>
      </c>
      <c r="FP58" s="41">
        <v>11.371052631578948</v>
      </c>
      <c r="FQ58" s="41"/>
      <c r="FR58" s="41"/>
      <c r="FS58" s="41"/>
    </row>
    <row r="59" spans="2:176">
      <c r="D59" s="71"/>
      <c r="E59" s="71"/>
      <c r="F59" s="71"/>
      <c r="G59" s="91"/>
      <c r="H59" s="71"/>
      <c r="I59" s="71"/>
      <c r="FK59" s="32">
        <v>55</v>
      </c>
      <c r="FL59" s="41"/>
      <c r="FM59" s="41"/>
      <c r="FN59" s="41"/>
      <c r="FO59" s="41">
        <v>9.9</v>
      </c>
      <c r="FP59" s="41">
        <v>11.3</v>
      </c>
      <c r="FQ59" s="41"/>
      <c r="FR59" s="41"/>
      <c r="FS59" s="41"/>
    </row>
    <row r="60" spans="2:176">
      <c r="D60" s="71"/>
      <c r="E60" s="71"/>
      <c r="F60" s="71"/>
      <c r="G60" s="91"/>
      <c r="H60" s="71"/>
      <c r="I60" s="71"/>
      <c r="FK60" s="36">
        <f>+O7*100</f>
        <v>28.645219181086627</v>
      </c>
      <c r="FT60" s="36">
        <f>+O5*100</f>
        <v>7.0087779864219186</v>
      </c>
    </row>
    <row r="63" spans="2:176">
      <c r="B63" s="40"/>
    </row>
    <row r="64" spans="2:176">
      <c r="B64" s="40"/>
    </row>
    <row r="65" spans="1:18">
      <c r="B65" s="40"/>
    </row>
    <row r="66" spans="1:18">
      <c r="A66" s="32" t="s">
        <v>0</v>
      </c>
      <c r="B66" s="32" t="s">
        <v>1</v>
      </c>
      <c r="C66" s="32" t="s">
        <v>149</v>
      </c>
      <c r="D66" s="32" t="s">
        <v>29</v>
      </c>
      <c r="E66" s="32" t="s">
        <v>30</v>
      </c>
      <c r="F66" s="32" t="s">
        <v>33</v>
      </c>
      <c r="G66" s="32" t="s">
        <v>31</v>
      </c>
      <c r="H66" s="32" t="s">
        <v>34</v>
      </c>
      <c r="I66" s="32" t="s">
        <v>102</v>
      </c>
      <c r="J66" s="32" t="s">
        <v>35</v>
      </c>
      <c r="K66" s="32" t="s">
        <v>100</v>
      </c>
      <c r="L66" s="32" t="s">
        <v>156</v>
      </c>
    </row>
    <row r="67" spans="1:18">
      <c r="A67" s="35" t="s">
        <v>10</v>
      </c>
      <c r="B67" s="36">
        <f>+D2*1000</f>
        <v>924.8000000000003</v>
      </c>
      <c r="C67" s="36">
        <f>+B67*F81%</f>
        <v>258.94400000000013</v>
      </c>
      <c r="D67" s="36">
        <f>+B67*F82%</f>
        <v>94.976960000000034</v>
      </c>
      <c r="E67" s="36">
        <f>+B67*F83%</f>
        <v>17.941120000000005</v>
      </c>
      <c r="F67" s="36">
        <f>+B67*F84%</f>
        <v>33.015360000000008</v>
      </c>
      <c r="G67" s="36">
        <f>+B67*F85%</f>
        <v>113.10304000000004</v>
      </c>
      <c r="H67" s="36">
        <f>+B67*F86%</f>
        <v>8.1382400000000032</v>
      </c>
      <c r="I67" s="36">
        <f>+B67*F87%</f>
        <v>4.5315200000000013</v>
      </c>
      <c r="J67" s="36">
        <f>+B67*F88%</f>
        <v>184.96000000000006</v>
      </c>
      <c r="K67" s="36">
        <f>+B67*F89%</f>
        <v>0</v>
      </c>
      <c r="L67" s="36">
        <f>+C67*F90%</f>
        <v>0</v>
      </c>
    </row>
    <row r="68" spans="1:18">
      <c r="A68" s="35" t="s">
        <v>76</v>
      </c>
      <c r="B68" s="36">
        <f>+D3*1000</f>
        <v>88.740000000000038</v>
      </c>
      <c r="C68" s="36">
        <f>+B68*D81%</f>
        <v>24.847200000000011</v>
      </c>
      <c r="D68" s="36">
        <f>+B68*D82%</f>
        <v>9.1135980000000032</v>
      </c>
      <c r="E68" s="36">
        <f>+B68*D83%</f>
        <v>1.7215560000000008</v>
      </c>
      <c r="F68" s="36">
        <f>+B68*D84%</f>
        <v>3.1680180000000009</v>
      </c>
      <c r="G68" s="36">
        <f>+B68*D85%</f>
        <v>10.852902000000006</v>
      </c>
      <c r="H68" s="36">
        <f>+B68*D86%</f>
        <v>0.78091200000000038</v>
      </c>
      <c r="I68" s="36">
        <f>+B68*D87%</f>
        <v>0.43482600000000016</v>
      </c>
      <c r="J68" s="36">
        <f>+B68*D88%</f>
        <v>17.748000000000008</v>
      </c>
      <c r="K68" s="36">
        <f>+B68*D89%</f>
        <v>0</v>
      </c>
      <c r="L68" s="36">
        <f>+C68*D90%</f>
        <v>0</v>
      </c>
    </row>
    <row r="69" spans="1:18">
      <c r="A69" s="35" t="s">
        <v>9</v>
      </c>
      <c r="B69" s="36">
        <f>+D4*1000</f>
        <v>1742.16</v>
      </c>
      <c r="C69" s="36">
        <f>+B69*C81%</f>
        <v>487.80480000000006</v>
      </c>
      <c r="D69" s="36">
        <f>+B69*C82%</f>
        <v>178.91983200000001</v>
      </c>
      <c r="E69" s="36">
        <f>+B69*C83%</f>
        <v>33.797904000000003</v>
      </c>
      <c r="F69" s="36">
        <f>+B69*C84%</f>
        <v>62.195111999999995</v>
      </c>
      <c r="G69" s="36">
        <f>+B69*C85%</f>
        <v>213.06616800000003</v>
      </c>
      <c r="H69" s="36">
        <f>+B69*C86%</f>
        <v>15.331008000000002</v>
      </c>
      <c r="I69" s="36">
        <f>+B69*C87%</f>
        <v>8.5365839999999995</v>
      </c>
      <c r="J69" s="36">
        <f>+B69*C88%</f>
        <v>348.43200000000002</v>
      </c>
      <c r="K69" s="36">
        <f>+B69*C89%</f>
        <v>0</v>
      </c>
      <c r="L69" s="36">
        <f>+C69*C90%</f>
        <v>0</v>
      </c>
    </row>
    <row r="70" spans="1:18">
      <c r="A70" s="35" t="s">
        <v>278</v>
      </c>
      <c r="B70" s="36">
        <f>+D5*1000</f>
        <v>0</v>
      </c>
      <c r="C70" s="36">
        <f>+B70*D81%</f>
        <v>0</v>
      </c>
      <c r="D70" s="36">
        <f>+B70*D82%</f>
        <v>0</v>
      </c>
      <c r="E70" s="36">
        <f>+B70*D83%</f>
        <v>0</v>
      </c>
      <c r="F70" s="36">
        <f>+B70*D84%</f>
        <v>0</v>
      </c>
      <c r="G70" s="36">
        <f>+B70*D85%</f>
        <v>0</v>
      </c>
      <c r="H70" s="36">
        <f>+B70*D86%</f>
        <v>0</v>
      </c>
      <c r="I70" s="36">
        <f>+B70*D87%</f>
        <v>0</v>
      </c>
      <c r="J70" s="36">
        <f>+B70*D88%</f>
        <v>0</v>
      </c>
      <c r="K70" s="36">
        <f>+B70*D89%</f>
        <v>0</v>
      </c>
      <c r="L70" s="36">
        <f>+C70*D90%</f>
        <v>0</v>
      </c>
    </row>
    <row r="71" spans="1:18">
      <c r="A71" s="35" t="s">
        <v>283</v>
      </c>
      <c r="B71" s="36">
        <f t="shared" ref="B71:B74" si="5">+D6*1000</f>
        <v>0</v>
      </c>
      <c r="C71" s="36">
        <f>+B71*B81%</f>
        <v>0</v>
      </c>
      <c r="D71" s="36">
        <f>+B71*B82%</f>
        <v>0</v>
      </c>
      <c r="E71" s="36">
        <f>+B71*B83%</f>
        <v>0</v>
      </c>
      <c r="F71" s="36">
        <f>+B71*B84%</f>
        <v>0</v>
      </c>
      <c r="G71" s="36">
        <f>+B71*B85%</f>
        <v>0</v>
      </c>
      <c r="H71" s="36">
        <f>+B71*B86%</f>
        <v>0</v>
      </c>
      <c r="I71" s="36">
        <f>+B71*B87%</f>
        <v>0</v>
      </c>
      <c r="J71" s="36">
        <f>+B71*B88%</f>
        <v>0</v>
      </c>
      <c r="K71" s="36">
        <f>+B71*B89%</f>
        <v>0</v>
      </c>
      <c r="L71" s="36">
        <f>+C71*B90%</f>
        <v>0</v>
      </c>
    </row>
    <row r="72" spans="1:18">
      <c r="A72" s="35" t="s">
        <v>81</v>
      </c>
      <c r="B72" s="36">
        <f t="shared" si="5"/>
        <v>350.88000000000011</v>
      </c>
      <c r="C72" s="36">
        <f>+B72*E81%</f>
        <v>70.17600000000003</v>
      </c>
      <c r="D72" s="36">
        <f>+B72*E82%</f>
        <v>49.474080000000008</v>
      </c>
      <c r="E72" s="36">
        <f>+B72*E83%</f>
        <v>10.947456000000004</v>
      </c>
      <c r="F72" s="36">
        <f>+B72*E84%</f>
        <v>21.052800000000005</v>
      </c>
      <c r="G72" s="36">
        <f>+B72*E85%</f>
        <v>78.246240000000029</v>
      </c>
      <c r="H72" s="36">
        <f>+B72*E86%</f>
        <v>3.4035360000000012</v>
      </c>
      <c r="I72" s="36">
        <f>+B72*E87%</f>
        <v>2.4912480000000006</v>
      </c>
      <c r="J72" s="36">
        <f>+B72*E88%</f>
        <v>38.245920000000012</v>
      </c>
      <c r="K72" s="36">
        <f>+B72*E89%</f>
        <v>0</v>
      </c>
      <c r="L72" s="36">
        <f>+C72*E90%</f>
        <v>0</v>
      </c>
    </row>
    <row r="73" spans="1:18">
      <c r="A73" s="35" t="s">
        <v>279</v>
      </c>
      <c r="B73" s="36">
        <f t="shared" si="5"/>
        <v>0</v>
      </c>
      <c r="C73" s="36">
        <f>+B73*F90%</f>
        <v>0</v>
      </c>
      <c r="D73" s="36">
        <f>+B73*F91%</f>
        <v>0</v>
      </c>
      <c r="E73" s="36">
        <f>+B73*F92%</f>
        <v>0</v>
      </c>
      <c r="F73" s="36">
        <f>+B73*F93%</f>
        <v>0</v>
      </c>
      <c r="G73" s="36">
        <f>+B73*F94%</f>
        <v>0</v>
      </c>
      <c r="H73" s="36">
        <f>+B73*F95%</f>
        <v>0</v>
      </c>
      <c r="I73" s="36">
        <f>+B73*F96%</f>
        <v>0</v>
      </c>
      <c r="J73" s="36">
        <f>+B73*F97%</f>
        <v>0</v>
      </c>
      <c r="K73" s="36">
        <f>+B73*F98%</f>
        <v>0</v>
      </c>
      <c r="L73" s="36">
        <f>+C73*G98%</f>
        <v>0</v>
      </c>
    </row>
    <row r="74" spans="1:18">
      <c r="A74" s="35" t="s">
        <v>83</v>
      </c>
      <c r="B74" s="36">
        <f t="shared" si="5"/>
        <v>78.880000000000067</v>
      </c>
      <c r="C74" s="36">
        <f>+B74*D81%</f>
        <v>22.086400000000022</v>
      </c>
      <c r="D74" s="36">
        <f>+B74*D82%</f>
        <v>8.1009760000000064</v>
      </c>
      <c r="E74" s="36">
        <f>+B74*D83%</f>
        <v>1.5302720000000014</v>
      </c>
      <c r="F74" s="36">
        <f>+B74*D84%</f>
        <v>2.8160160000000021</v>
      </c>
      <c r="G74" s="36">
        <f>+B74*D85%</f>
        <v>9.6470240000000089</v>
      </c>
      <c r="H74" s="36">
        <f>+B74*D86%</f>
        <v>0.69414400000000065</v>
      </c>
      <c r="I74" s="36">
        <f>+B74*D87%</f>
        <v>0.3865120000000003</v>
      </c>
      <c r="J74" s="36">
        <f>+B74*D88%</f>
        <v>15.776000000000014</v>
      </c>
      <c r="K74" s="36">
        <f>+B74*D89%</f>
        <v>0</v>
      </c>
      <c r="L74" s="36">
        <f>+C74*D90%</f>
        <v>0</v>
      </c>
    </row>
    <row r="75" spans="1:18" ht="15.6">
      <c r="A75" s="92" t="s">
        <v>119</v>
      </c>
      <c r="B75" s="93">
        <f t="shared" ref="B75:L75" si="6">SUM(B67:B74)</f>
        <v>3185.4600000000005</v>
      </c>
      <c r="C75" s="93">
        <f t="shared" si="6"/>
        <v>863.8584000000003</v>
      </c>
      <c r="D75" s="93">
        <f t="shared" si="6"/>
        <v>340.58544600000005</v>
      </c>
      <c r="E75" s="93">
        <f t="shared" si="6"/>
        <v>65.938308000000006</v>
      </c>
      <c r="F75" s="93">
        <f t="shared" si="6"/>
        <v>122.24730600000001</v>
      </c>
      <c r="G75" s="93">
        <f t="shared" si="6"/>
        <v>424.91537400000004</v>
      </c>
      <c r="H75" s="93">
        <f t="shared" si="6"/>
        <v>28.347840000000012</v>
      </c>
      <c r="I75" s="93">
        <f t="shared" si="6"/>
        <v>16.380690000000001</v>
      </c>
      <c r="J75" s="93">
        <f t="shared" si="6"/>
        <v>605.16192000000024</v>
      </c>
      <c r="K75" s="93">
        <f t="shared" si="6"/>
        <v>0</v>
      </c>
      <c r="L75" s="93">
        <f t="shared" si="6"/>
        <v>0</v>
      </c>
    </row>
    <row r="78" spans="1:18">
      <c r="A78" s="55" t="s">
        <v>99</v>
      </c>
      <c r="B78" s="56" t="s">
        <v>150</v>
      </c>
      <c r="C78" s="56" t="s">
        <v>151</v>
      </c>
      <c r="D78" s="56" t="s">
        <v>152</v>
      </c>
      <c r="E78" s="56" t="s">
        <v>153</v>
      </c>
      <c r="F78" s="56" t="s">
        <v>154</v>
      </c>
      <c r="H78" s="237" t="s">
        <v>144</v>
      </c>
      <c r="I78" s="237"/>
      <c r="J78" s="237"/>
      <c r="K78" s="237"/>
      <c r="M78" s="237" t="s">
        <v>145</v>
      </c>
      <c r="N78" s="237"/>
      <c r="O78" s="237"/>
      <c r="Q78" s="238" t="s">
        <v>148</v>
      </c>
      <c r="R78" s="238"/>
    </row>
    <row r="79" spans="1:18">
      <c r="A79" s="57" t="s">
        <v>118</v>
      </c>
      <c r="B79" s="57" t="s">
        <v>105</v>
      </c>
      <c r="C79" s="57" t="s">
        <v>104</v>
      </c>
      <c r="D79" s="57" t="s">
        <v>103</v>
      </c>
      <c r="E79" s="57" t="s">
        <v>155</v>
      </c>
      <c r="F79" s="57" t="s">
        <v>142</v>
      </c>
    </row>
    <row r="80" spans="1:18">
      <c r="A80" s="57"/>
      <c r="B80" s="57"/>
      <c r="C80" s="57"/>
      <c r="D80" s="57" t="s">
        <v>143</v>
      </c>
      <c r="E80" s="57"/>
      <c r="F80" s="57"/>
    </row>
    <row r="81" spans="1:15">
      <c r="A81" s="58" t="s">
        <v>149</v>
      </c>
      <c r="B81" s="98"/>
      <c r="C81" s="98">
        <v>28</v>
      </c>
      <c r="D81" s="98">
        <v>28</v>
      </c>
      <c r="E81" s="98">
        <v>20</v>
      </c>
      <c r="F81" s="98">
        <v>28</v>
      </c>
    </row>
    <row r="82" spans="1:15">
      <c r="A82" s="58" t="s">
        <v>29</v>
      </c>
      <c r="B82" s="98">
        <v>14.91</v>
      </c>
      <c r="C82" s="98">
        <v>10.27</v>
      </c>
      <c r="D82" s="98">
        <v>10.27</v>
      </c>
      <c r="E82" s="98">
        <v>14.1</v>
      </c>
      <c r="F82" s="98">
        <v>10.27</v>
      </c>
    </row>
    <row r="83" spans="1:15">
      <c r="A83" s="58" t="s">
        <v>30</v>
      </c>
      <c r="B83" s="98">
        <v>3.87</v>
      </c>
      <c r="C83" s="98">
        <v>1.94</v>
      </c>
      <c r="D83" s="98">
        <v>1.94</v>
      </c>
      <c r="E83" s="98">
        <v>3.12</v>
      </c>
      <c r="F83" s="98">
        <v>1.94</v>
      </c>
    </row>
    <row r="84" spans="1:15">
      <c r="A84" s="58" t="s">
        <v>33</v>
      </c>
      <c r="B84" s="98">
        <v>6.15</v>
      </c>
      <c r="C84" s="98">
        <v>3.57</v>
      </c>
      <c r="D84" s="98">
        <v>3.57</v>
      </c>
      <c r="E84" s="98">
        <v>6</v>
      </c>
      <c r="F84" s="98">
        <v>3.57</v>
      </c>
    </row>
    <row r="85" spans="1:15">
      <c r="A85" s="58" t="s">
        <v>31</v>
      </c>
      <c r="B85" s="98">
        <v>27.22</v>
      </c>
      <c r="C85" s="98">
        <v>12.23</v>
      </c>
      <c r="D85" s="98">
        <v>12.23</v>
      </c>
      <c r="E85" s="98">
        <v>22.3</v>
      </c>
      <c r="F85" s="98">
        <v>12.23</v>
      </c>
      <c r="K85" s="37"/>
      <c r="L85" s="39"/>
    </row>
    <row r="86" spans="1:15">
      <c r="A86" s="58" t="s">
        <v>34</v>
      </c>
      <c r="B86" s="98">
        <v>1.62</v>
      </c>
      <c r="C86" s="98">
        <v>0.88</v>
      </c>
      <c r="D86" s="98">
        <v>0.88</v>
      </c>
      <c r="E86" s="98">
        <v>0.97</v>
      </c>
      <c r="F86" s="98">
        <v>0.88</v>
      </c>
      <c r="K86" s="37"/>
      <c r="L86" s="39"/>
    </row>
    <row r="87" spans="1:15">
      <c r="A87" s="58" t="s">
        <v>102</v>
      </c>
      <c r="B87" s="98">
        <v>0.16</v>
      </c>
      <c r="C87" s="98">
        <v>0.49</v>
      </c>
      <c r="D87" s="98">
        <v>0.49</v>
      </c>
      <c r="E87" s="98">
        <v>0.71</v>
      </c>
      <c r="F87" s="98">
        <v>0.49</v>
      </c>
      <c r="K87" s="37"/>
      <c r="L87" s="39"/>
    </row>
    <row r="88" spans="1:15">
      <c r="A88" s="58" t="s">
        <v>35</v>
      </c>
      <c r="B88" s="98">
        <v>10.35</v>
      </c>
      <c r="C88" s="98">
        <v>20</v>
      </c>
      <c r="D88" s="98">
        <v>20</v>
      </c>
      <c r="E88" s="98">
        <v>10.9</v>
      </c>
      <c r="F88" s="98">
        <v>20</v>
      </c>
      <c r="K88" s="37"/>
      <c r="L88" s="39"/>
    </row>
    <row r="89" spans="1:15">
      <c r="A89" s="58" t="s">
        <v>100</v>
      </c>
      <c r="B89" s="98"/>
      <c r="C89" s="98"/>
      <c r="D89" s="98"/>
      <c r="E89" s="98"/>
      <c r="F89" s="98"/>
      <c r="K89" s="37"/>
      <c r="L89" s="39"/>
    </row>
    <row r="90" spans="1:15">
      <c r="A90" s="58" t="s">
        <v>101</v>
      </c>
      <c r="B90" s="98"/>
      <c r="C90" s="98"/>
      <c r="D90" s="98"/>
      <c r="E90" s="98"/>
      <c r="F90" s="98"/>
      <c r="H90" s="237" t="s">
        <v>146</v>
      </c>
      <c r="I90" s="237"/>
      <c r="J90" s="237"/>
      <c r="K90" s="237"/>
      <c r="M90" s="237" t="s">
        <v>147</v>
      </c>
      <c r="N90" s="237"/>
      <c r="O90" s="237"/>
    </row>
    <row r="91" spans="1:15">
      <c r="B91" s="32">
        <f>+B82/B85</f>
        <v>0.54775900073475392</v>
      </c>
      <c r="C91" s="32">
        <f>+C82/C85</f>
        <v>0.8397383483237939</v>
      </c>
      <c r="D91" s="32">
        <f>+D82/D85</f>
        <v>0.8397383483237939</v>
      </c>
      <c r="E91" s="32">
        <f>+E82/E85</f>
        <v>0.63228699551569501</v>
      </c>
      <c r="F91" s="32">
        <f>+F82/F85</f>
        <v>0.8397383483237939</v>
      </c>
      <c r="G91" s="36"/>
      <c r="H91" s="36"/>
      <c r="I91" s="36"/>
      <c r="J91" s="36"/>
    </row>
    <row r="93" spans="1:15">
      <c r="G93" s="37"/>
      <c r="H93" s="37"/>
      <c r="I93" s="37"/>
      <c r="J93" s="37"/>
    </row>
    <row r="94" spans="1:15">
      <c r="C94" s="32" t="s">
        <v>98</v>
      </c>
      <c r="E94" s="32">
        <v>34</v>
      </c>
      <c r="G94" s="37"/>
      <c r="H94" s="37"/>
      <c r="I94" s="37"/>
      <c r="J94" s="37"/>
    </row>
    <row r="95" spans="1:15">
      <c r="A95" s="35" t="s">
        <v>87</v>
      </c>
      <c r="B95" s="32">
        <f>36*0.19</f>
        <v>6.84</v>
      </c>
      <c r="C95" s="37">
        <f>+D95/$D$105</f>
        <v>0.17</v>
      </c>
      <c r="D95" s="32">
        <f>+PPC!B2</f>
        <v>5.95</v>
      </c>
      <c r="E95" s="32">
        <f>+$E$94*D95%</f>
        <v>2.0230000000000001</v>
      </c>
      <c r="G95" s="37"/>
      <c r="H95" s="37"/>
      <c r="I95" s="37"/>
      <c r="J95" s="37"/>
    </row>
    <row r="96" spans="1:15">
      <c r="A96" s="35" t="s">
        <v>88</v>
      </c>
      <c r="B96" s="32">
        <f>36*0.058</f>
        <v>2.0880000000000001</v>
      </c>
      <c r="C96" s="37">
        <f t="shared" ref="C96:C104" si="7">+D96/$D$105</f>
        <v>5.800000000000001E-2</v>
      </c>
      <c r="D96" s="32">
        <f>+PPC!B9</f>
        <v>2.0300000000000002</v>
      </c>
      <c r="E96" s="32">
        <f t="shared" ref="E96:E104" si="8">+$E$94*D96%</f>
        <v>0.69020000000000004</v>
      </c>
      <c r="G96" s="37"/>
      <c r="H96" s="37"/>
      <c r="I96" s="37"/>
      <c r="J96" s="37"/>
    </row>
    <row r="97" spans="1:10">
      <c r="A97" s="35" t="s">
        <v>89</v>
      </c>
      <c r="B97" s="32">
        <f>36*0.074</f>
        <v>2.6639999999999997</v>
      </c>
      <c r="C97" s="37">
        <f t="shared" si="7"/>
        <v>0</v>
      </c>
      <c r="D97" s="32">
        <f>+PPC!B5</f>
        <v>0</v>
      </c>
      <c r="E97" s="32">
        <f t="shared" si="8"/>
        <v>0</v>
      </c>
      <c r="G97" s="37"/>
      <c r="H97" s="37"/>
      <c r="I97" s="37"/>
      <c r="J97" s="37"/>
    </row>
    <row r="98" spans="1:10">
      <c r="A98" s="35" t="s">
        <v>90</v>
      </c>
      <c r="B98" s="32">
        <f>36*0.39</f>
        <v>14.040000000000001</v>
      </c>
      <c r="C98" s="37">
        <f t="shared" si="7"/>
        <v>0.42699999999999999</v>
      </c>
      <c r="D98" s="32">
        <f>+PPC!B4</f>
        <v>14.945</v>
      </c>
      <c r="E98" s="32">
        <f>+$E$94*D98%</f>
        <v>5.0812999999999997</v>
      </c>
      <c r="G98" s="37"/>
      <c r="H98" s="37"/>
      <c r="I98" s="37"/>
      <c r="J98" s="37"/>
    </row>
    <row r="99" spans="1:10">
      <c r="A99" s="35" t="s">
        <v>91</v>
      </c>
      <c r="B99" s="32">
        <f>36*0.2</f>
        <v>7.2</v>
      </c>
      <c r="C99" s="37">
        <f t="shared" si="7"/>
        <v>0.25800000000000001</v>
      </c>
      <c r="D99" s="32">
        <f>+PPC!B7</f>
        <v>9.0300000000000011</v>
      </c>
      <c r="E99" s="32">
        <f t="shared" si="8"/>
        <v>3.0702000000000003</v>
      </c>
      <c r="G99" s="37"/>
      <c r="H99" s="37"/>
      <c r="I99" s="37"/>
      <c r="J99" s="37"/>
    </row>
    <row r="100" spans="1:10">
      <c r="A100" s="35" t="s">
        <v>92</v>
      </c>
      <c r="B100" s="32">
        <f>36*0.07</f>
        <v>2.5200000000000005</v>
      </c>
      <c r="C100" s="37">
        <f t="shared" si="7"/>
        <v>8.6999999999999994E-2</v>
      </c>
      <c r="D100" s="32">
        <f>+PPC!B3</f>
        <v>3.0449999999999999</v>
      </c>
      <c r="E100" s="32">
        <f t="shared" si="8"/>
        <v>1.0352999999999999</v>
      </c>
      <c r="G100" s="37"/>
      <c r="H100" s="37"/>
      <c r="I100" s="37"/>
      <c r="J100" s="37"/>
    </row>
    <row r="101" spans="1:10">
      <c r="A101" s="35" t="s">
        <v>93</v>
      </c>
      <c r="B101" s="32">
        <v>0</v>
      </c>
      <c r="C101" s="37">
        <f t="shared" si="7"/>
        <v>0</v>
      </c>
      <c r="D101" s="32">
        <f>+PPC!B8</f>
        <v>0</v>
      </c>
      <c r="E101" s="32">
        <f t="shared" si="8"/>
        <v>0</v>
      </c>
      <c r="G101" s="37"/>
      <c r="H101" s="37"/>
      <c r="I101" s="37"/>
      <c r="J101" s="37"/>
    </row>
    <row r="102" spans="1:10">
      <c r="A102" s="35" t="s">
        <v>95</v>
      </c>
      <c r="B102" s="32">
        <f>36*0.013</f>
        <v>0.46799999999999997</v>
      </c>
      <c r="C102" s="37">
        <f t="shared" si="7"/>
        <v>0</v>
      </c>
      <c r="D102" s="32">
        <f>+PPC!B6</f>
        <v>0</v>
      </c>
      <c r="E102" s="32">
        <f>+$E$94*D102%</f>
        <v>0</v>
      </c>
    </row>
    <row r="103" spans="1:10">
      <c r="A103" s="35" t="s">
        <v>96</v>
      </c>
      <c r="B103" s="32">
        <v>0</v>
      </c>
      <c r="C103" s="37">
        <f t="shared" si="7"/>
        <v>0</v>
      </c>
      <c r="E103" s="32">
        <f t="shared" si="8"/>
        <v>0</v>
      </c>
    </row>
    <row r="104" spans="1:10">
      <c r="A104" s="35" t="s">
        <v>97</v>
      </c>
      <c r="B104" s="32">
        <f>36*0.003</f>
        <v>0.108</v>
      </c>
      <c r="C104" s="37">
        <f t="shared" si="7"/>
        <v>0</v>
      </c>
      <c r="E104" s="32">
        <f t="shared" si="8"/>
        <v>0</v>
      </c>
    </row>
    <row r="105" spans="1:10">
      <c r="A105" s="35" t="s">
        <v>94</v>
      </c>
      <c r="B105" s="32">
        <f>SUM(B95:B104)</f>
        <v>35.928000000000004</v>
      </c>
      <c r="D105" s="32">
        <f>SUM(D95:D104)</f>
        <v>35</v>
      </c>
    </row>
    <row r="109" spans="1:10">
      <c r="C109" s="32" t="s">
        <v>157</v>
      </c>
      <c r="D109" s="32">
        <v>3222.42</v>
      </c>
      <c r="E109" s="32">
        <f>+D109/$D$112*$E$112</f>
        <v>3.3676187607330314E-2</v>
      </c>
    </row>
    <row r="110" spans="1:10">
      <c r="C110" s="32" t="s">
        <v>158</v>
      </c>
      <c r="D110" s="32">
        <v>26770.382000000001</v>
      </c>
      <c r="E110" s="32">
        <f>+D110/$D$112*$E$112</f>
        <v>0.27976626465572418</v>
      </c>
    </row>
    <row r="111" spans="1:10">
      <c r="C111" s="32" t="s">
        <v>159</v>
      </c>
      <c r="D111" s="32">
        <v>1584.365</v>
      </c>
      <c r="E111" s="32">
        <f>+D111/$D$112*$E$112</f>
        <v>1.6557547736945493E-2</v>
      </c>
    </row>
    <row r="112" spans="1:10">
      <c r="D112" s="32">
        <f>SUM(D109:D111)</f>
        <v>31577.167000000005</v>
      </c>
      <c r="E112" s="32">
        <v>0.33</v>
      </c>
    </row>
  </sheetData>
  <mergeCells count="8">
    <mergeCell ref="N1:O1"/>
    <mergeCell ref="H78:K78"/>
    <mergeCell ref="M78:O78"/>
    <mergeCell ref="H90:K90"/>
    <mergeCell ref="M90:O90"/>
    <mergeCell ref="Q78:R78"/>
    <mergeCell ref="D22:D23"/>
    <mergeCell ref="D27:D28"/>
  </mergeCells>
  <pageMargins left="0.7" right="0.7" top="0.75" bottom="0.75" header="0.3" footer="0.3"/>
  <pageSetup paperSize="9" orientation="portrait" horizontalDpi="300" verticalDpi="300" r:id="rId1"/>
  <ignoredErrors>
    <ignoredError sqref="C14" formula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48"/>
  <sheetViews>
    <sheetView zoomScale="85" zoomScaleNormal="85" workbookViewId="0">
      <selection activeCell="R16" sqref="R16"/>
    </sheetView>
  </sheetViews>
  <sheetFormatPr baseColWidth="10" defaultRowHeight="14.4"/>
  <cols>
    <col min="2" max="2" width="8.33203125" customWidth="1"/>
    <col min="9" max="9" width="12.109375" customWidth="1"/>
  </cols>
  <sheetData>
    <row r="2" spans="1:15">
      <c r="A2" t="s">
        <v>172</v>
      </c>
      <c r="D2" t="s">
        <v>167</v>
      </c>
      <c r="E2" s="100">
        <f>+'Horno Eléctrico'!S13*0.1</f>
        <v>-667.61601094735204</v>
      </c>
      <c r="F2" t="s">
        <v>52</v>
      </c>
      <c r="H2" t="s">
        <v>169</v>
      </c>
      <c r="I2" s="101">
        <f>(G11+G16+G21+G26)*1.4284</f>
        <v>136.20412121212121</v>
      </c>
      <c r="J2">
        <f>(E2-I2)*1000</f>
        <v>-803820.13215947326</v>
      </c>
      <c r="K2" s="33" t="s">
        <v>177</v>
      </c>
      <c r="L2" s="34">
        <f>+B18+I15+I20+I25</f>
        <v>400.11745454545451</v>
      </c>
      <c r="M2" s="241" t="s">
        <v>42</v>
      </c>
      <c r="N2" s="242"/>
      <c r="O2" s="64" t="s">
        <v>39</v>
      </c>
    </row>
    <row r="3" spans="1:15">
      <c r="A3" t="s">
        <v>163</v>
      </c>
      <c r="B3">
        <v>280</v>
      </c>
      <c r="C3" t="s">
        <v>168</v>
      </c>
      <c r="H3" t="s">
        <v>52</v>
      </c>
      <c r="I3">
        <f>+J2/'Horno Eléctrico'!R2</f>
        <v>-25812.516597325626</v>
      </c>
      <c r="K3" s="32" t="s">
        <v>29</v>
      </c>
      <c r="L3" s="40">
        <f>+B19+B13*0.8+B7*0.8</f>
        <v>160.5857230372564</v>
      </c>
      <c r="M3" s="60" t="s">
        <v>29</v>
      </c>
      <c r="N3" s="97">
        <f t="shared" ref="N3:N10" si="0">+L3/$L$2</f>
        <v>0.40134645767874993</v>
      </c>
      <c r="O3" s="94">
        <f>+L3/L4</f>
        <v>1.2616087710675583</v>
      </c>
    </row>
    <row r="4" spans="1:15">
      <c r="A4" t="s">
        <v>164</v>
      </c>
      <c r="B4">
        <v>0</v>
      </c>
      <c r="C4" t="s">
        <v>168</v>
      </c>
      <c r="E4" s="10"/>
      <c r="F4" s="101"/>
      <c r="K4" s="32" t="s">
        <v>31</v>
      </c>
      <c r="L4" s="40">
        <f>+B20+I20+B6*0.41</f>
        <v>127.28646686672182</v>
      </c>
      <c r="M4" s="60" t="s">
        <v>31</v>
      </c>
      <c r="N4" s="97">
        <f t="shared" si="0"/>
        <v>0.31812275475790752</v>
      </c>
      <c r="O4" s="32"/>
    </row>
    <row r="5" spans="1:15">
      <c r="A5" t="s">
        <v>165</v>
      </c>
      <c r="B5">
        <v>100</v>
      </c>
      <c r="C5" t="s">
        <v>168</v>
      </c>
      <c r="E5" s="1"/>
      <c r="F5" s="101"/>
      <c r="K5" s="32" t="s">
        <v>33</v>
      </c>
      <c r="L5" s="40">
        <f>+B21</f>
        <v>15.118494227501888</v>
      </c>
      <c r="M5" s="60" t="s">
        <v>33</v>
      </c>
      <c r="N5" s="97">
        <f t="shared" si="0"/>
        <v>3.7785140477505419E-2</v>
      </c>
      <c r="O5" s="95" t="s">
        <v>120</v>
      </c>
    </row>
    <row r="6" spans="1:15">
      <c r="A6" t="s">
        <v>171</v>
      </c>
      <c r="B6">
        <v>80</v>
      </c>
      <c r="C6" t="s">
        <v>168</v>
      </c>
      <c r="K6" s="32" t="s">
        <v>30</v>
      </c>
      <c r="L6" s="40">
        <f>+B22+B6*0.45</f>
        <v>57.026333959265756</v>
      </c>
      <c r="M6" s="60" t="s">
        <v>30</v>
      </c>
      <c r="N6" s="97">
        <f t="shared" si="0"/>
        <v>0.14252398467357388</v>
      </c>
      <c r="O6" s="96">
        <f>1348.181674+3.99660706*N3+37.2199612*N6-1.19891958*N7-6.37252956*N5-2.62999577*N8-7.33636128*N4+2.000343166*N9</f>
        <v>1352.2031896364197</v>
      </c>
    </row>
    <row r="7" spans="1:15" ht="15" thickBot="1">
      <c r="A7" t="s">
        <v>170</v>
      </c>
      <c r="B7">
        <v>100</v>
      </c>
      <c r="C7" t="s">
        <v>168</v>
      </c>
      <c r="K7" s="32" t="s">
        <v>34</v>
      </c>
      <c r="L7" s="40">
        <f>+B23+I15</f>
        <v>41.344909572894039</v>
      </c>
      <c r="M7" s="60" t="s">
        <v>34</v>
      </c>
      <c r="N7" s="97">
        <f t="shared" si="0"/>
        <v>0.10333193191949874</v>
      </c>
      <c r="O7" s="32"/>
    </row>
    <row r="8" spans="1:15">
      <c r="D8" s="239" t="s">
        <v>50</v>
      </c>
      <c r="E8" s="69">
        <v>12</v>
      </c>
      <c r="F8" s="69"/>
      <c r="G8" s="69">
        <v>16</v>
      </c>
      <c r="H8" s="69"/>
      <c r="I8" s="70">
        <f>+E8+G8</f>
        <v>28</v>
      </c>
      <c r="K8" s="32" t="s">
        <v>35</v>
      </c>
      <c r="L8" s="40">
        <f>+I25</f>
        <v>30</v>
      </c>
      <c r="M8" s="60" t="s">
        <v>35</v>
      </c>
      <c r="N8" s="97">
        <f t="shared" si="0"/>
        <v>7.4977983737502543E-2</v>
      </c>
      <c r="O8" s="95" t="s">
        <v>62</v>
      </c>
    </row>
    <row r="9" spans="1:15">
      <c r="A9" t="s">
        <v>173</v>
      </c>
      <c r="D9" s="240"/>
      <c r="E9" s="71" t="s">
        <v>139</v>
      </c>
      <c r="F9" s="87" t="s">
        <v>125</v>
      </c>
      <c r="G9" s="71" t="s">
        <v>75</v>
      </c>
      <c r="H9" s="87" t="s">
        <v>126</v>
      </c>
      <c r="I9" s="72" t="s">
        <v>140</v>
      </c>
      <c r="K9" s="32" t="s">
        <v>102</v>
      </c>
      <c r="L9" s="40">
        <f>+B25</f>
        <v>1.6968494333230486</v>
      </c>
      <c r="M9" s="60" t="s">
        <v>102</v>
      </c>
      <c r="N9" s="97">
        <f t="shared" si="0"/>
        <v>4.2408783072228643E-3</v>
      </c>
      <c r="O9" s="94">
        <f>+N3/(N4+N5)</f>
        <v>1.1276694421552014</v>
      </c>
    </row>
    <row r="10" spans="1:15">
      <c r="A10" t="s">
        <v>163</v>
      </c>
      <c r="B10">
        <v>30</v>
      </c>
      <c r="D10" s="82"/>
      <c r="E10" s="74">
        <f>+B5*0.83*0.9</f>
        <v>74.7</v>
      </c>
      <c r="F10" s="71"/>
      <c r="G10" s="74">
        <f>+E10*G8/E8</f>
        <v>99.600000000000009</v>
      </c>
      <c r="H10" s="71"/>
      <c r="I10" s="75"/>
      <c r="K10" s="32" t="s">
        <v>174</v>
      </c>
      <c r="L10" s="40">
        <f>+B14</f>
        <v>20</v>
      </c>
      <c r="M10" s="60" t="s">
        <v>38</v>
      </c>
      <c r="N10" s="97">
        <f t="shared" si="0"/>
        <v>4.9985322491668358E-2</v>
      </c>
      <c r="O10" s="32"/>
    </row>
    <row r="11" spans="1:15" ht="15" thickBot="1">
      <c r="A11" t="s">
        <v>164</v>
      </c>
      <c r="B11">
        <v>20</v>
      </c>
      <c r="D11" s="76"/>
      <c r="E11" s="77"/>
      <c r="F11" s="77"/>
      <c r="G11" s="78">
        <f>+G10/1.4284</f>
        <v>69.728367404088502</v>
      </c>
      <c r="H11" s="77"/>
      <c r="I11" s="79"/>
      <c r="K11" s="32"/>
      <c r="L11" s="40">
        <f>SUM(L3:L10)</f>
        <v>453.05877709696296</v>
      </c>
      <c r="M11" s="32"/>
      <c r="N11" s="32"/>
      <c r="O11" s="32"/>
    </row>
    <row r="12" spans="1:15" ht="15" thickBot="1">
      <c r="A12" t="s">
        <v>165</v>
      </c>
      <c r="B12">
        <v>120</v>
      </c>
      <c r="K12" s="32"/>
      <c r="L12" s="32"/>
      <c r="M12" s="32"/>
      <c r="N12" s="32"/>
      <c r="O12" s="32"/>
    </row>
    <row r="13" spans="1:15">
      <c r="A13" t="s">
        <v>170</v>
      </c>
      <c r="B13">
        <v>0</v>
      </c>
      <c r="D13" s="80"/>
      <c r="E13" s="69">
        <v>55</v>
      </c>
      <c r="F13" s="69"/>
      <c r="G13" s="69">
        <v>16</v>
      </c>
      <c r="H13" s="69"/>
      <c r="I13" s="70">
        <v>71</v>
      </c>
      <c r="K13" s="32"/>
      <c r="L13" s="35" t="s">
        <v>53</v>
      </c>
      <c r="M13" s="37">
        <f>2.19063*10^-4*O3^6-5.15999*10^-3*O3^5+4.94488*10^-2*O3^4-2.47772*10^-1*O3^3+6.92834*10^-1*O3^2-1.05363*O3+7.70403*10^-1</f>
        <v>0.15601345512871934</v>
      </c>
      <c r="N13" s="37"/>
      <c r="O13" s="32"/>
    </row>
    <row r="14" spans="1:15">
      <c r="A14" t="s">
        <v>174</v>
      </c>
      <c r="B14">
        <v>20</v>
      </c>
      <c r="D14" s="82" t="s">
        <v>130</v>
      </c>
      <c r="E14" s="71" t="s">
        <v>74</v>
      </c>
      <c r="F14" s="87" t="s">
        <v>125</v>
      </c>
      <c r="G14" s="71" t="s">
        <v>75</v>
      </c>
      <c r="H14" s="87" t="s">
        <v>126</v>
      </c>
      <c r="I14" s="72" t="s">
        <v>34</v>
      </c>
    </row>
    <row r="15" spans="1:15">
      <c r="A15" t="s">
        <v>215</v>
      </c>
      <c r="B15">
        <v>20</v>
      </c>
      <c r="D15" s="82"/>
      <c r="E15" s="102">
        <f>+B3*0.67*0.1</f>
        <v>18.760000000000002</v>
      </c>
      <c r="F15" s="71"/>
      <c r="G15" s="74">
        <f>+E15/E13*G13</f>
        <v>5.4574545454545458</v>
      </c>
      <c r="H15" s="71"/>
      <c r="I15" s="75">
        <f>+G15/G13*I13</f>
        <v>24.217454545454547</v>
      </c>
      <c r="K15" s="33" t="s">
        <v>178</v>
      </c>
      <c r="L15" s="34">
        <f>SUM(L16:L23)</f>
        <v>371.11302292119257</v>
      </c>
      <c r="M15" s="241" t="s">
        <v>42</v>
      </c>
      <c r="N15" s="242"/>
      <c r="O15" s="64" t="s">
        <v>39</v>
      </c>
    </row>
    <row r="16" spans="1:15" ht="15" thickBot="1">
      <c r="D16" s="76"/>
      <c r="E16" s="77"/>
      <c r="F16" s="77"/>
      <c r="G16" s="78">
        <f>+G15/1.4284</f>
        <v>3.8206766630177444</v>
      </c>
      <c r="H16" s="77"/>
      <c r="I16" s="79"/>
      <c r="K16" s="32" t="s">
        <v>29</v>
      </c>
      <c r="L16" s="40">
        <f>+H40+B7*0.8+B19</f>
        <v>171.0857230372564</v>
      </c>
      <c r="M16" s="60" t="s">
        <v>29</v>
      </c>
      <c r="N16" s="97">
        <f>+L16/$L$2</f>
        <v>0.42758875198687579</v>
      </c>
      <c r="O16" s="94">
        <f>+L16/L17</f>
        <v>1.3440998658278069</v>
      </c>
    </row>
    <row r="17" spans="1:15" ht="15" thickBot="1">
      <c r="D17" s="71"/>
      <c r="E17" s="71"/>
      <c r="F17" s="71"/>
      <c r="G17" s="91"/>
      <c r="H17" s="71"/>
      <c r="I17" s="71"/>
      <c r="K17" s="32" t="s">
        <v>31</v>
      </c>
      <c r="L17" s="40">
        <f>+B6*0.41+I20+B20</f>
        <v>127.28646686672182</v>
      </c>
      <c r="M17" s="60" t="s">
        <v>31</v>
      </c>
      <c r="N17" s="97">
        <f t="shared" ref="N17:N22" si="1">+L17/$L$2</f>
        <v>0.31812275475790752</v>
      </c>
      <c r="O17" s="32"/>
    </row>
    <row r="18" spans="1:15">
      <c r="A18" t="s">
        <v>32</v>
      </c>
      <c r="B18">
        <v>300</v>
      </c>
      <c r="D18" s="80"/>
      <c r="E18" s="69">
        <v>28</v>
      </c>
      <c r="F18" s="69"/>
      <c r="G18" s="69">
        <v>32</v>
      </c>
      <c r="H18" s="69"/>
      <c r="I18" s="70">
        <f>+E18+G18</f>
        <v>60</v>
      </c>
      <c r="K18" s="32" t="s">
        <v>33</v>
      </c>
      <c r="L18" s="40">
        <f>+B21</f>
        <v>15.118494227501888</v>
      </c>
      <c r="M18" s="60" t="s">
        <v>33</v>
      </c>
      <c r="N18" s="97">
        <f t="shared" si="1"/>
        <v>3.7785140477505419E-2</v>
      </c>
      <c r="O18" s="95" t="s">
        <v>120</v>
      </c>
    </row>
    <row r="19" spans="1:15">
      <c r="A19" s="32" t="s">
        <v>29</v>
      </c>
      <c r="B19" s="101">
        <f>+$B$18*'Horno Eléctrico'!O2</f>
        <v>80.585723037256386</v>
      </c>
      <c r="D19" s="82" t="s">
        <v>135</v>
      </c>
      <c r="E19" s="71" t="s">
        <v>136</v>
      </c>
      <c r="F19" s="87" t="s">
        <v>125</v>
      </c>
      <c r="G19" s="71" t="s">
        <v>132</v>
      </c>
      <c r="H19" s="87" t="s">
        <v>126</v>
      </c>
      <c r="I19" s="72" t="s">
        <v>31</v>
      </c>
      <c r="K19" s="32" t="s">
        <v>30</v>
      </c>
      <c r="L19" s="40">
        <f>+B22+B6*0.45</f>
        <v>57.026333959265756</v>
      </c>
      <c r="M19" s="60" t="s">
        <v>30</v>
      </c>
      <c r="N19" s="97">
        <f t="shared" si="1"/>
        <v>0.14252398467357388</v>
      </c>
      <c r="O19" s="96">
        <f>1348.181674+3.99660706*N16+37.2199612*N19-1.19891958*N20-6.37252956*N18-2.62999577*N21-7.33636128*N17+2.000343166*N22</f>
        <v>1352.6211837205806</v>
      </c>
    </row>
    <row r="20" spans="1:15">
      <c r="A20" s="32" t="s">
        <v>31</v>
      </c>
      <c r="B20" s="101">
        <f>+$B$18*'Horno Eléctrico'!O3</f>
        <v>48.586466866721835</v>
      </c>
      <c r="D20" s="82"/>
      <c r="E20" s="74">
        <f>(B3*0.18+B4*0.75)*0.5</f>
        <v>25.2</v>
      </c>
      <c r="F20" s="71"/>
      <c r="G20" s="74">
        <f>+E20*0.85/E18*G18</f>
        <v>24.479999999999997</v>
      </c>
      <c r="H20" s="71"/>
      <c r="I20" s="75">
        <f>+G20/G18*I18</f>
        <v>45.899999999999991</v>
      </c>
      <c r="K20" s="32" t="s">
        <v>34</v>
      </c>
      <c r="L20" s="40">
        <f>+I30*(1-0.97)</f>
        <v>1.2403472871868222</v>
      </c>
      <c r="M20" s="60" t="s">
        <v>34</v>
      </c>
      <c r="N20" s="97">
        <f t="shared" si="1"/>
        <v>3.0999579575849649E-3</v>
      </c>
      <c r="O20" s="32"/>
    </row>
    <row r="21" spans="1:15" ht="15" thickBot="1">
      <c r="A21" s="32" t="s">
        <v>33</v>
      </c>
      <c r="B21" s="101">
        <f>+$B$18*'Horno Eléctrico'!O4</f>
        <v>15.118494227501888</v>
      </c>
      <c r="D21" s="76"/>
      <c r="E21" s="77"/>
      <c r="F21" s="77"/>
      <c r="G21" s="78">
        <f>+G20/1.4284</f>
        <v>17.138056566788013</v>
      </c>
      <c r="H21" s="77"/>
      <c r="I21" s="79"/>
      <c r="K21" s="32" t="s">
        <v>35</v>
      </c>
      <c r="L21" s="40">
        <f>+B24-I35</f>
        <v>-0.64434245674011947</v>
      </c>
      <c r="M21" s="60" t="s">
        <v>35</v>
      </c>
      <c r="N21" s="59">
        <f t="shared" si="1"/>
        <v>-1.6103832747614371E-3</v>
      </c>
      <c r="O21" s="95" t="s">
        <v>62</v>
      </c>
    </row>
    <row r="22" spans="1:15" ht="15" thickBot="1">
      <c r="A22" s="32" t="s">
        <v>30</v>
      </c>
      <c r="B22" s="101">
        <f>+$B$18*'Horno Eléctrico'!O5</f>
        <v>21.026333959265756</v>
      </c>
      <c r="K22" s="32" t="s">
        <v>102</v>
      </c>
      <c r="L22" s="40">
        <f>+B38</f>
        <v>0</v>
      </c>
      <c r="M22" s="60" t="s">
        <v>102</v>
      </c>
      <c r="N22" s="97">
        <f t="shared" si="1"/>
        <v>0</v>
      </c>
      <c r="O22" s="94">
        <f>+N16/(N17+N18)</f>
        <v>1.2014028284032587</v>
      </c>
    </row>
    <row r="23" spans="1:15">
      <c r="A23" s="32" t="s">
        <v>34</v>
      </c>
      <c r="B23" s="101">
        <f>+$B$18*'Horno Eléctrico'!O6</f>
        <v>17.127455027439495</v>
      </c>
      <c r="D23" s="80"/>
      <c r="E23" s="69">
        <v>56</v>
      </c>
      <c r="F23" s="69"/>
      <c r="G23" s="69">
        <v>16</v>
      </c>
      <c r="H23" s="69"/>
      <c r="I23" s="70">
        <f>+E23+G23</f>
        <v>72</v>
      </c>
      <c r="K23" s="32" t="s">
        <v>174</v>
      </c>
      <c r="L23" s="40">
        <f>+B27</f>
        <v>0</v>
      </c>
      <c r="M23" s="60" t="s">
        <v>38</v>
      </c>
      <c r="N23" s="97">
        <f>+L23/$L$2</f>
        <v>0</v>
      </c>
      <c r="O23" s="32"/>
    </row>
    <row r="24" spans="1:15">
      <c r="A24" s="32" t="s">
        <v>35</v>
      </c>
      <c r="B24" s="101">
        <f>+$B$18*'Horno Eléctrico'!O7</f>
        <v>85.935657543259879</v>
      </c>
      <c r="D24" s="81" t="s">
        <v>124</v>
      </c>
      <c r="E24" s="71" t="s">
        <v>138</v>
      </c>
      <c r="F24" s="87" t="s">
        <v>125</v>
      </c>
      <c r="G24" s="71" t="s">
        <v>75</v>
      </c>
      <c r="H24" s="87" t="s">
        <v>126</v>
      </c>
      <c r="I24" s="72" t="s">
        <v>35</v>
      </c>
    </row>
    <row r="25" spans="1:15">
      <c r="A25" s="32" t="s">
        <v>102</v>
      </c>
      <c r="B25" s="101">
        <f>+$B$18*'Horno Eléctrico'!O8</f>
        <v>1.6968494333230486</v>
      </c>
      <c r="D25" s="82"/>
      <c r="E25" s="74">
        <f>+I25*E23/I23</f>
        <v>23.333333333333332</v>
      </c>
      <c r="F25" s="71"/>
      <c r="G25" s="74">
        <f>+I25*G23/I23</f>
        <v>6.666666666666667</v>
      </c>
      <c r="H25" s="71"/>
      <c r="I25" s="86">
        <v>30</v>
      </c>
    </row>
    <row r="26" spans="1:15" ht="15" thickBot="1">
      <c r="A26" s="32" t="s">
        <v>38</v>
      </c>
      <c r="B26" s="101">
        <f>+$B$18*'Horno Eléctrico'!O9</f>
        <v>29.923019905231733</v>
      </c>
      <c r="D26" s="76"/>
      <c r="E26" s="83"/>
      <c r="F26" s="83"/>
      <c r="G26" s="78">
        <f>+G25/1.4284</f>
        <v>4.667226733874732</v>
      </c>
      <c r="H26" s="77"/>
      <c r="I26" s="84"/>
    </row>
    <row r="27" spans="1:15" ht="15" thickBot="1"/>
    <row r="28" spans="1:15">
      <c r="D28" s="80"/>
      <c r="E28" s="69">
        <v>55</v>
      </c>
      <c r="F28" s="69"/>
      <c r="G28" s="69">
        <v>16</v>
      </c>
      <c r="H28" s="69"/>
      <c r="I28" s="70">
        <v>71</v>
      </c>
    </row>
    <row r="29" spans="1:15">
      <c r="D29" s="82" t="s">
        <v>175</v>
      </c>
      <c r="E29" s="71" t="s">
        <v>74</v>
      </c>
      <c r="F29" s="87" t="s">
        <v>125</v>
      </c>
      <c r="G29" s="71" t="s">
        <v>75</v>
      </c>
      <c r="H29" s="87" t="s">
        <v>126</v>
      </c>
      <c r="I29" s="72" t="s">
        <v>34</v>
      </c>
    </row>
    <row r="30" spans="1:15">
      <c r="D30" s="82"/>
      <c r="E30" s="102">
        <f>+I30/I28*E28</f>
        <v>32.027746852241862</v>
      </c>
      <c r="F30" s="71"/>
      <c r="G30" s="74">
        <f>+E30/E28*G28</f>
        <v>9.3171627206521777</v>
      </c>
      <c r="H30" s="71"/>
      <c r="I30" s="75">
        <f>+L7</f>
        <v>41.344909572894039</v>
      </c>
    </row>
    <row r="31" spans="1:15" ht="15" thickBot="1">
      <c r="D31" s="76"/>
      <c r="E31" s="77"/>
      <c r="F31" s="77"/>
      <c r="G31" s="78">
        <f>+G30/1.4284</f>
        <v>6.5227966400533308</v>
      </c>
      <c r="H31" s="77"/>
      <c r="I31" s="79"/>
    </row>
    <row r="32" spans="1:15" ht="15" thickBot="1"/>
    <row r="33" spans="4:12">
      <c r="D33" s="80"/>
      <c r="E33" s="69">
        <v>56</v>
      </c>
      <c r="F33" s="69"/>
      <c r="G33" s="69">
        <v>16</v>
      </c>
      <c r="H33" s="69"/>
      <c r="I33" s="70">
        <f>+E33+G33</f>
        <v>72</v>
      </c>
    </row>
    <row r="34" spans="4:12">
      <c r="D34" s="81" t="s">
        <v>176</v>
      </c>
      <c r="E34" s="71" t="s">
        <v>138</v>
      </c>
      <c r="F34" s="87" t="s">
        <v>125</v>
      </c>
      <c r="G34" s="71" t="s">
        <v>75</v>
      </c>
      <c r="H34" s="87" t="s">
        <v>126</v>
      </c>
      <c r="I34" s="72" t="s">
        <v>35</v>
      </c>
    </row>
    <row r="35" spans="4:12">
      <c r="D35" s="82"/>
      <c r="E35" s="74">
        <f>+I35/I33*E33</f>
        <v>67.339999999999989</v>
      </c>
      <c r="F35" s="71"/>
      <c r="G35" s="74">
        <f>+I35*G33/I33</f>
        <v>19.239999999999998</v>
      </c>
      <c r="H35" s="71"/>
      <c r="I35" s="86">
        <f>+F40+F44</f>
        <v>86.58</v>
      </c>
    </row>
    <row r="36" spans="4:12" ht="15" thickBot="1">
      <c r="D36" s="76"/>
      <c r="E36" s="83"/>
      <c r="F36" s="83"/>
      <c r="G36" s="78">
        <f>+G35/1.4284</f>
        <v>13.469616353962476</v>
      </c>
      <c r="H36" s="77"/>
      <c r="I36" s="84"/>
    </row>
    <row r="37" spans="4:12">
      <c r="D37" s="1"/>
      <c r="E37" s="1"/>
      <c r="F37" s="1"/>
      <c r="G37" s="1"/>
      <c r="H37" s="1"/>
      <c r="I37" s="1"/>
      <c r="J37" s="1"/>
      <c r="K37" s="1"/>
      <c r="L37" s="1"/>
    </row>
    <row r="38" spans="4:12">
      <c r="D38" s="1">
        <v>64</v>
      </c>
      <c r="E38" s="1"/>
      <c r="F38" s="1">
        <f>3*72</f>
        <v>216</v>
      </c>
      <c r="G38" s="1"/>
      <c r="H38" s="1">
        <v>56</v>
      </c>
      <c r="I38" s="1"/>
      <c r="J38" s="1">
        <f>2*28</f>
        <v>56</v>
      </c>
      <c r="K38" s="1"/>
      <c r="L38" s="1">
        <f>3*56</f>
        <v>168</v>
      </c>
    </row>
    <row r="39" spans="4:12">
      <c r="D39" s="1" t="s">
        <v>215</v>
      </c>
      <c r="E39" s="144" t="s">
        <v>125</v>
      </c>
      <c r="F39" s="1" t="s">
        <v>219</v>
      </c>
      <c r="G39" s="144" t="s">
        <v>126</v>
      </c>
      <c r="H39" s="1" t="s">
        <v>29</v>
      </c>
      <c r="I39" s="144" t="s">
        <v>125</v>
      </c>
      <c r="J39" s="1" t="s">
        <v>218</v>
      </c>
      <c r="K39" s="144" t="s">
        <v>125</v>
      </c>
      <c r="L39" s="1" t="s">
        <v>220</v>
      </c>
    </row>
    <row r="40" spans="4:12">
      <c r="D40" s="1">
        <f>20*0.6</f>
        <v>12</v>
      </c>
      <c r="E40" s="1"/>
      <c r="F40" s="1">
        <f>+D40*F38/D38</f>
        <v>40.5</v>
      </c>
      <c r="G40" s="1"/>
      <c r="H40" s="1">
        <f>+D40/D38*H38</f>
        <v>10.5</v>
      </c>
      <c r="I40" s="1"/>
      <c r="J40" s="1">
        <f>+D40/D38*J38</f>
        <v>10.5</v>
      </c>
      <c r="K40" s="1"/>
      <c r="L40" s="1">
        <f>+D40/D38*L38</f>
        <v>31.5</v>
      </c>
    </row>
    <row r="42" spans="4:12">
      <c r="D42" s="1">
        <v>28</v>
      </c>
      <c r="E42" s="1"/>
      <c r="F42" s="1">
        <f>72*2</f>
        <v>144</v>
      </c>
      <c r="G42" s="1"/>
      <c r="H42" s="1">
        <f>28+32</f>
        <v>60</v>
      </c>
      <c r="I42" s="1"/>
      <c r="J42" s="1">
        <f>56*2</f>
        <v>112</v>
      </c>
    </row>
    <row r="43" spans="4:12">
      <c r="D43" s="1" t="s">
        <v>136</v>
      </c>
      <c r="E43" s="144" t="s">
        <v>125</v>
      </c>
      <c r="F43" s="1" t="s">
        <v>216</v>
      </c>
      <c r="G43" s="144" t="s">
        <v>126</v>
      </c>
      <c r="H43" s="1" t="s">
        <v>31</v>
      </c>
      <c r="I43" s="144" t="s">
        <v>125</v>
      </c>
      <c r="J43" s="1" t="s">
        <v>217</v>
      </c>
    </row>
    <row r="44" spans="4:12">
      <c r="D44" s="1">
        <f>+B3*0.16*0.2</f>
        <v>8.9600000000000009</v>
      </c>
      <c r="E44" s="1"/>
      <c r="F44" s="3">
        <f>+D44/D42*F42</f>
        <v>46.08</v>
      </c>
      <c r="G44" s="1"/>
      <c r="H44" s="3">
        <f>+D44/D42*H42</f>
        <v>19.2</v>
      </c>
      <c r="I44" s="1"/>
      <c r="J44" s="1">
        <f>+D44/D42*J42</f>
        <v>35.840000000000003</v>
      </c>
    </row>
    <row r="46" spans="4:12">
      <c r="D46" s="1">
        <v>55</v>
      </c>
      <c r="E46" s="1"/>
      <c r="F46" s="1">
        <v>72</v>
      </c>
      <c r="G46" s="1"/>
      <c r="H46" s="1">
        <v>71</v>
      </c>
      <c r="I46" s="1"/>
      <c r="J46" s="1">
        <v>56</v>
      </c>
    </row>
    <row r="47" spans="4:12">
      <c r="D47" s="1" t="s">
        <v>74</v>
      </c>
      <c r="E47" s="144" t="s">
        <v>125</v>
      </c>
      <c r="F47" s="1" t="s">
        <v>35</v>
      </c>
      <c r="G47" s="144" t="s">
        <v>126</v>
      </c>
      <c r="H47" s="1" t="s">
        <v>34</v>
      </c>
      <c r="I47" s="144" t="s">
        <v>125</v>
      </c>
      <c r="J47" s="1" t="s">
        <v>138</v>
      </c>
    </row>
    <row r="48" spans="4:12">
      <c r="D48" s="1"/>
      <c r="E48" s="1"/>
      <c r="F48" s="1"/>
      <c r="G48" s="1"/>
      <c r="H48" s="1"/>
      <c r="I48" s="1"/>
      <c r="J48" s="1"/>
    </row>
  </sheetData>
  <mergeCells count="3">
    <mergeCell ref="D8:D9"/>
    <mergeCell ref="M2:N2"/>
    <mergeCell ref="M15:N1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K9" sqref="K9"/>
    </sheetView>
  </sheetViews>
  <sheetFormatPr baseColWidth="10" defaultRowHeight="14.4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95"/>
  <sheetViews>
    <sheetView zoomScale="85" zoomScaleNormal="85" workbookViewId="0">
      <selection activeCell="K54" sqref="K54"/>
    </sheetView>
  </sheetViews>
  <sheetFormatPr baseColWidth="10" defaultColWidth="11.44140625" defaultRowHeight="14.4"/>
  <cols>
    <col min="1" max="1" width="23.6640625" style="1" bestFit="1" customWidth="1"/>
    <col min="2" max="2" width="11.44140625" style="1"/>
    <col min="3" max="3" width="13.5546875" style="1" customWidth="1"/>
    <col min="4" max="4" width="11.44140625" style="1"/>
    <col min="5" max="5" width="12.5546875" style="1" bestFit="1" customWidth="1"/>
    <col min="6" max="6" width="11.44140625" style="1"/>
    <col min="7" max="7" width="8.6640625" style="1" bestFit="1" customWidth="1"/>
    <col min="8" max="12" width="11.44140625" style="1"/>
    <col min="13" max="13" width="12.44140625" style="1" bestFit="1" customWidth="1"/>
    <col min="14" max="15" width="8.88671875" style="1" customWidth="1"/>
    <col min="16" max="16384" width="11.44140625" style="1"/>
  </cols>
  <sheetData>
    <row r="1" spans="1:15">
      <c r="A1" s="1" t="s">
        <v>0</v>
      </c>
      <c r="B1" s="1" t="s">
        <v>3</v>
      </c>
      <c r="C1" s="1" t="s">
        <v>21</v>
      </c>
      <c r="D1" s="1" t="s">
        <v>1</v>
      </c>
      <c r="E1" s="1" t="s">
        <v>4</v>
      </c>
      <c r="F1" s="1" t="s">
        <v>20</v>
      </c>
      <c r="G1" s="1" t="s">
        <v>56</v>
      </c>
      <c r="I1" s="7" t="s">
        <v>32</v>
      </c>
      <c r="J1" s="8">
        <f>+B16+B27+B32+I19+B26</f>
        <v>3935.0000000000009</v>
      </c>
      <c r="K1" s="1" t="s">
        <v>42</v>
      </c>
      <c r="L1" s="1" t="s">
        <v>39</v>
      </c>
    </row>
    <row r="2" spans="1:15">
      <c r="A2" s="2" t="s">
        <v>9</v>
      </c>
      <c r="B2" s="1">
        <v>16</v>
      </c>
      <c r="C2" s="3">
        <f t="shared" ref="C2:C12" si="0">+B2*(1-F2)</f>
        <v>14.879999999999999</v>
      </c>
      <c r="D2" s="3">
        <f>+B2-C2</f>
        <v>1.120000000000001</v>
      </c>
      <c r="E2" s="4">
        <f>IF(B2&gt;0,C2/B2,0)</f>
        <v>0.92999999999999994</v>
      </c>
      <c r="F2" s="4">
        <v>7.0000000000000007E-2</v>
      </c>
      <c r="G2" s="1">
        <v>330</v>
      </c>
      <c r="I2" s="1" t="s">
        <v>29</v>
      </c>
      <c r="J2" s="5">
        <f>+B19+B28</f>
        <v>930.50000000000023</v>
      </c>
      <c r="K2" s="15">
        <f>+J2/$J$1</f>
        <v>0.23646759847522236</v>
      </c>
      <c r="L2" s="10">
        <f>+J2/J3</f>
        <v>1.3151943462897526</v>
      </c>
    </row>
    <row r="3" spans="1:15">
      <c r="A3" s="2" t="s">
        <v>10</v>
      </c>
      <c r="B3" s="1">
        <v>0</v>
      </c>
      <c r="C3" s="3">
        <f t="shared" si="0"/>
        <v>0</v>
      </c>
      <c r="D3" s="3">
        <f t="shared" ref="D3:D12" si="1">+B3-C3</f>
        <v>0</v>
      </c>
      <c r="E3" s="4">
        <f>IF(B3&gt;0,C3/B3,0)</f>
        <v>0</v>
      </c>
      <c r="F3" s="4">
        <v>0.1</v>
      </c>
      <c r="G3" s="1">
        <v>280</v>
      </c>
      <c r="I3" s="1" t="s">
        <v>31</v>
      </c>
      <c r="J3" s="5">
        <f>+B17+B30</f>
        <v>707.50000000000023</v>
      </c>
      <c r="K3" s="15">
        <f t="shared" ref="K3:K8" si="2">+J3/$J$1</f>
        <v>0.17979669631512074</v>
      </c>
    </row>
    <row r="4" spans="1:15">
      <c r="A4" s="2" t="s">
        <v>11</v>
      </c>
      <c r="B4" s="1">
        <v>0</v>
      </c>
      <c r="C4" s="3">
        <f t="shared" si="0"/>
        <v>0</v>
      </c>
      <c r="D4" s="3">
        <f t="shared" si="1"/>
        <v>0</v>
      </c>
      <c r="E4" s="4">
        <f t="shared" ref="E4:E12" si="3">IF(B4&gt;0,C4/B4,0)</f>
        <v>0</v>
      </c>
      <c r="F4" s="4">
        <v>0</v>
      </c>
      <c r="G4" s="1">
        <v>290</v>
      </c>
      <c r="I4" s="1" t="s">
        <v>33</v>
      </c>
      <c r="J4" s="5">
        <f>+B22</f>
        <v>150.75000000000009</v>
      </c>
      <c r="K4" s="15">
        <f t="shared" si="2"/>
        <v>3.8310038119440927E-2</v>
      </c>
      <c r="L4" s="1" t="s">
        <v>62</v>
      </c>
    </row>
    <row r="5" spans="1:15">
      <c r="A5" s="2" t="s">
        <v>12</v>
      </c>
      <c r="B5" s="1">
        <v>1</v>
      </c>
      <c r="C5" s="3">
        <f t="shared" si="0"/>
        <v>0.92999999999999994</v>
      </c>
      <c r="D5" s="3">
        <f t="shared" si="1"/>
        <v>7.0000000000000062E-2</v>
      </c>
      <c r="E5" s="4">
        <f t="shared" si="3"/>
        <v>0.92999999999999994</v>
      </c>
      <c r="F5" s="4">
        <v>7.0000000000000007E-2</v>
      </c>
      <c r="G5" s="1">
        <v>280</v>
      </c>
      <c r="H5" s="4"/>
      <c r="I5" s="1" t="s">
        <v>30</v>
      </c>
      <c r="J5" s="5">
        <f>+B21+B33+B29</f>
        <v>443.50000000000006</v>
      </c>
      <c r="K5" s="15">
        <f t="shared" si="2"/>
        <v>0.11270648030495552</v>
      </c>
      <c r="L5" s="10">
        <f>+(J2)/(J3+J4)</f>
        <v>1.0841829303815902</v>
      </c>
    </row>
    <row r="6" spans="1:15">
      <c r="A6" s="2" t="s">
        <v>13</v>
      </c>
      <c r="B6" s="1">
        <v>5</v>
      </c>
      <c r="C6" s="3">
        <f t="shared" si="0"/>
        <v>4.75</v>
      </c>
      <c r="D6" s="3">
        <f t="shared" si="1"/>
        <v>0.25</v>
      </c>
      <c r="E6" s="4">
        <f t="shared" si="3"/>
        <v>0.95</v>
      </c>
      <c r="F6" s="4">
        <v>0.05</v>
      </c>
      <c r="G6" s="1">
        <v>310</v>
      </c>
      <c r="H6" s="16"/>
      <c r="I6" s="1" t="s">
        <v>34</v>
      </c>
      <c r="J6" s="5">
        <f>+B23</f>
        <v>227.69590909090911</v>
      </c>
      <c r="K6" s="15">
        <f t="shared" si="2"/>
        <v>5.7864271687651604E-2</v>
      </c>
    </row>
    <row r="7" spans="1:15">
      <c r="A7" s="2" t="s">
        <v>14</v>
      </c>
      <c r="B7" s="1">
        <v>0</v>
      </c>
      <c r="C7" s="3">
        <f t="shared" si="0"/>
        <v>0</v>
      </c>
      <c r="D7" s="3">
        <f t="shared" si="1"/>
        <v>0</v>
      </c>
      <c r="E7" s="4">
        <f t="shared" si="3"/>
        <v>0</v>
      </c>
      <c r="F7" s="4">
        <v>7.0000000000000007E-2</v>
      </c>
      <c r="G7" s="1">
        <v>290</v>
      </c>
      <c r="I7" s="1" t="s">
        <v>35</v>
      </c>
      <c r="J7" s="5">
        <f>+B20+I19</f>
        <v>1070</v>
      </c>
      <c r="K7" s="15">
        <f>+J7/$J$1</f>
        <v>0.27191867852604823</v>
      </c>
    </row>
    <row r="8" spans="1:15">
      <c r="A8" s="2" t="s">
        <v>15</v>
      </c>
      <c r="B8" s="1">
        <v>0</v>
      </c>
      <c r="C8" s="3">
        <f t="shared" si="0"/>
        <v>0</v>
      </c>
      <c r="D8" s="3">
        <f t="shared" si="1"/>
        <v>0</v>
      </c>
      <c r="E8" s="4">
        <f t="shared" si="3"/>
        <v>0</v>
      </c>
      <c r="F8" s="4">
        <v>0.05</v>
      </c>
      <c r="G8" s="1">
        <v>280</v>
      </c>
      <c r="I8" s="1" t="s">
        <v>38</v>
      </c>
      <c r="J8" s="5">
        <f>+B16-B25+B27-B31+B32-B33</f>
        <v>397.85409090909116</v>
      </c>
      <c r="K8" s="15">
        <f t="shared" si="2"/>
        <v>0.10110650340764703</v>
      </c>
    </row>
    <row r="9" spans="1:15">
      <c r="A9" s="2" t="s">
        <v>16</v>
      </c>
      <c r="B9" s="1">
        <v>2</v>
      </c>
      <c r="C9" s="3">
        <f t="shared" si="0"/>
        <v>1.7</v>
      </c>
      <c r="D9" s="3">
        <f t="shared" si="1"/>
        <v>0.30000000000000004</v>
      </c>
      <c r="E9" s="4">
        <f t="shared" si="3"/>
        <v>0.85</v>
      </c>
      <c r="F9" s="4">
        <v>0.15</v>
      </c>
      <c r="G9" s="1">
        <v>40</v>
      </c>
      <c r="J9" s="5">
        <f>SUM(J2:J8)</f>
        <v>3927.8000000000006</v>
      </c>
    </row>
    <row r="10" spans="1:15">
      <c r="A10" s="2" t="s">
        <v>17</v>
      </c>
      <c r="B10" s="1">
        <v>1</v>
      </c>
      <c r="C10" s="3">
        <f t="shared" si="0"/>
        <v>0.85</v>
      </c>
      <c r="D10" s="3">
        <f t="shared" si="1"/>
        <v>0.15000000000000002</v>
      </c>
      <c r="E10" s="4">
        <f t="shared" si="3"/>
        <v>0.85</v>
      </c>
      <c r="F10" s="4">
        <v>0.15</v>
      </c>
      <c r="G10" s="1">
        <v>40</v>
      </c>
    </row>
    <row r="11" spans="1:15">
      <c r="A11" s="2" t="s">
        <v>18</v>
      </c>
      <c r="B11" s="1">
        <v>1</v>
      </c>
      <c r="C11" s="3">
        <f t="shared" si="0"/>
        <v>0.8</v>
      </c>
      <c r="D11" s="3">
        <f t="shared" si="1"/>
        <v>0.19999999999999996</v>
      </c>
      <c r="E11" s="4">
        <f t="shared" si="3"/>
        <v>0.8</v>
      </c>
      <c r="F11" s="4">
        <v>0.2</v>
      </c>
      <c r="G11" s="1">
        <v>40</v>
      </c>
      <c r="I11" s="14" t="s">
        <v>53</v>
      </c>
      <c r="J11" s="15">
        <f>2.19063*10^-4*L2^6-5.15999*10^-3*L2^5+4.94488*10^-2*L2^4-2.47772*10^-1*L2^3+6.92834*10^-1*L2^2-1.05363*L2+7.70403*10^-1</f>
        <v>0.14820768026873388</v>
      </c>
    </row>
    <row r="12" spans="1:15">
      <c r="A12" s="2" t="s">
        <v>71</v>
      </c>
      <c r="B12" s="1">
        <v>4</v>
      </c>
      <c r="C12" s="3">
        <f t="shared" si="0"/>
        <v>3.84</v>
      </c>
      <c r="D12" s="3">
        <f t="shared" si="1"/>
        <v>0.16000000000000014</v>
      </c>
      <c r="E12" s="4">
        <f t="shared" si="3"/>
        <v>0.96</v>
      </c>
      <c r="F12" s="4">
        <v>0.04</v>
      </c>
      <c r="G12" s="1">
        <v>480</v>
      </c>
      <c r="I12" s="1" t="s">
        <v>55</v>
      </c>
      <c r="J12" s="17">
        <f>+B18/C14/10+((D24+D30)*0.008/C14/10)</f>
        <v>5.4774774774774784E-2</v>
      </c>
    </row>
    <row r="13" spans="1:15">
      <c r="B13" s="3"/>
      <c r="M13" s="1" t="s">
        <v>54</v>
      </c>
      <c r="O13" s="1" t="s">
        <v>4</v>
      </c>
    </row>
    <row r="14" spans="1:15">
      <c r="A14" s="1" t="s">
        <v>2</v>
      </c>
      <c r="B14" s="3">
        <f>SUM(B2:B12)</f>
        <v>30</v>
      </c>
      <c r="C14" s="3">
        <f>SUM(C2:C12)</f>
        <v>27.75</v>
      </c>
      <c r="D14" s="3">
        <f>SUM(D2:D12)</f>
        <v>2.2500000000000009</v>
      </c>
      <c r="E14" s="3">
        <f>SUM(E2:E12)</f>
        <v>6.27</v>
      </c>
      <c r="F14" s="20" t="s">
        <v>57</v>
      </c>
      <c r="G14" s="21">
        <f>+SUMPRODUCT(B2:B12,G2:G12)/M14</f>
        <v>334.87863635443449</v>
      </c>
      <c r="I14" s="1" t="s">
        <v>61</v>
      </c>
      <c r="K14" s="10">
        <f>1348.181674+3.99660706*K2+37.2199612*K5-1.19891958*K6-6.37252956*K4-2.62999577*K7-7.33636128*K3</f>
        <v>1350.973967943371</v>
      </c>
      <c r="M14" s="3">
        <f>(C14*1000+B24-E19)/1000</f>
        <v>27.442777777777778</v>
      </c>
      <c r="O14" s="15">
        <f>+M14/B14</f>
        <v>0.91475925925925927</v>
      </c>
    </row>
    <row r="15" spans="1:15">
      <c r="B15" s="3"/>
      <c r="C15" s="3"/>
      <c r="D15" s="3"/>
      <c r="E15" s="3"/>
    </row>
    <row r="16" spans="1:15">
      <c r="A16" s="7" t="s">
        <v>1</v>
      </c>
      <c r="B16" s="8">
        <f>+D14*1000-B24</f>
        <v>1935.0000000000007</v>
      </c>
      <c r="C16" s="30" t="s">
        <v>72</v>
      </c>
      <c r="D16" s="29">
        <v>6.0000000000000001E-3</v>
      </c>
    </row>
    <row r="17" spans="1:16">
      <c r="A17" s="2" t="s">
        <v>5</v>
      </c>
      <c r="B17" s="5">
        <f>+D14*0.29*1000</f>
        <v>652.50000000000023</v>
      </c>
      <c r="C17" s="1">
        <f>+C14*1000*D16</f>
        <v>166.5</v>
      </c>
      <c r="E17" s="1">
        <f>56*2</f>
        <v>112</v>
      </c>
      <c r="G17" s="1">
        <v>32</v>
      </c>
      <c r="I17" s="1">
        <f>72*2</f>
        <v>144</v>
      </c>
    </row>
    <row r="18" spans="1:16">
      <c r="A18" s="2" t="s">
        <v>22</v>
      </c>
      <c r="B18" s="6">
        <f>+D14*0.32%*1000</f>
        <v>7.2000000000000028</v>
      </c>
      <c r="C18" s="31" t="s">
        <v>73</v>
      </c>
      <c r="D18" s="29">
        <v>8.9999999999999998E-4</v>
      </c>
      <c r="E18" s="1" t="s">
        <v>43</v>
      </c>
      <c r="G18" s="1" t="s">
        <v>41</v>
      </c>
      <c r="I18" s="1" t="s">
        <v>44</v>
      </c>
    </row>
    <row r="19" spans="1:16">
      <c r="A19" s="2" t="s">
        <v>23</v>
      </c>
      <c r="B19" s="5">
        <f>+D14*0.13*1000</f>
        <v>292.50000000000017</v>
      </c>
      <c r="C19" s="10">
        <f>+C14*1000*D18</f>
        <v>24.974999999999998</v>
      </c>
      <c r="E19" s="5">
        <f>+I19*E17/I17</f>
        <v>622.22222222222217</v>
      </c>
      <c r="G19" s="5">
        <f>+I19*G17/I17</f>
        <v>177.77777777777777</v>
      </c>
      <c r="I19" s="5">
        <v>800</v>
      </c>
      <c r="L19" s="1" t="s">
        <v>47</v>
      </c>
      <c r="M19" s="13">
        <f>(G20+G25+G31+B39)/0.92</f>
        <v>839.30080393134222</v>
      </c>
      <c r="P19" s="28">
        <f>+I19/(B14*1000)</f>
        <v>2.6666666666666668E-2</v>
      </c>
    </row>
    <row r="20" spans="1:16">
      <c r="A20" s="2" t="s">
        <v>24</v>
      </c>
      <c r="B20" s="5">
        <f>+D14*0.12*1000</f>
        <v>270.00000000000006</v>
      </c>
      <c r="E20" s="3"/>
      <c r="F20" s="3"/>
      <c r="G20" s="13">
        <f>+G19/1.4284</f>
        <v>124.45937956999285</v>
      </c>
      <c r="I20" s="3"/>
      <c r="M20" s="3"/>
    </row>
    <row r="21" spans="1:16">
      <c r="A21" s="2" t="s">
        <v>25</v>
      </c>
      <c r="B21" s="5">
        <f>+D14*0.05*1000</f>
        <v>112.50000000000004</v>
      </c>
      <c r="G21" s="12"/>
      <c r="L21" s="1" t="s">
        <v>48</v>
      </c>
      <c r="M21" s="13">
        <f>+M19*1.01</f>
        <v>847.6938119706557</v>
      </c>
    </row>
    <row r="22" spans="1:16">
      <c r="A22" s="2" t="s">
        <v>26</v>
      </c>
      <c r="B22" s="5">
        <f>+D14*0.067*1000</f>
        <v>150.75000000000009</v>
      </c>
      <c r="D22" s="243" t="s">
        <v>49</v>
      </c>
      <c r="E22" s="1">
        <v>24</v>
      </c>
      <c r="G22" s="1">
        <v>32</v>
      </c>
      <c r="I22" s="1">
        <f>2*28</f>
        <v>56</v>
      </c>
    </row>
    <row r="23" spans="1:16">
      <c r="A23" s="2" t="s">
        <v>37</v>
      </c>
      <c r="B23" s="5">
        <f>+D14*0.02*1000+B36</f>
        <v>227.69590909090911</v>
      </c>
      <c r="D23" s="243"/>
      <c r="E23" s="1" t="s">
        <v>45</v>
      </c>
      <c r="G23" s="1" t="s">
        <v>41</v>
      </c>
      <c r="I23" s="1" t="s">
        <v>46</v>
      </c>
      <c r="L23" s="1" t="s">
        <v>51</v>
      </c>
      <c r="M23" s="13">
        <f>+M21-M19</f>
        <v>8.3930080393134858</v>
      </c>
      <c r="N23" s="3">
        <f>+M23*1.4284</f>
        <v>11.988572683355383</v>
      </c>
      <c r="O23" s="3">
        <f>+N23*1000</f>
        <v>11988.572683355382</v>
      </c>
    </row>
    <row r="24" spans="1:16">
      <c r="A24" s="2" t="s">
        <v>40</v>
      </c>
      <c r="B24" s="5">
        <f>+D14*0.14*1000</f>
        <v>315.00000000000017</v>
      </c>
      <c r="D24" s="5">
        <v>500</v>
      </c>
      <c r="E24" s="5">
        <f>+D24*0.78*0.85</f>
        <v>331.5</v>
      </c>
      <c r="G24" s="5">
        <f>+E24*G22/E22</f>
        <v>442</v>
      </c>
      <c r="I24" s="5"/>
      <c r="M24" s="3"/>
      <c r="N24" s="3"/>
      <c r="O24" s="3"/>
    </row>
    <row r="25" spans="1:16">
      <c r="A25" s="2"/>
      <c r="B25" s="11">
        <f>SUM(B17:B23)</f>
        <v>1713.1459090909095</v>
      </c>
      <c r="G25" s="13">
        <f>+G24/1.4284</f>
        <v>309.43713245589475</v>
      </c>
      <c r="L25" s="1" t="s">
        <v>52</v>
      </c>
      <c r="M25" s="12">
        <f>+O23/M14</f>
        <v>436.8571133882561</v>
      </c>
    </row>
    <row r="26" spans="1:16">
      <c r="A26" s="9" t="s">
        <v>58</v>
      </c>
      <c r="B26" s="8">
        <v>0</v>
      </c>
    </row>
    <row r="27" spans="1:16">
      <c r="A27" s="9" t="s">
        <v>28</v>
      </c>
      <c r="B27" s="8">
        <v>1100</v>
      </c>
    </row>
    <row r="28" spans="1:16">
      <c r="A28" s="1" t="s">
        <v>29</v>
      </c>
      <c r="B28" s="5">
        <f>+B27*0.58+B26*0.78</f>
        <v>638</v>
      </c>
      <c r="D28" s="243" t="s">
        <v>50</v>
      </c>
      <c r="E28" s="1">
        <v>24</v>
      </c>
      <c r="G28" s="1">
        <v>32</v>
      </c>
      <c r="I28" s="1">
        <f>2*28</f>
        <v>56</v>
      </c>
    </row>
    <row r="29" spans="1:16">
      <c r="A29" s="1" t="s">
        <v>30</v>
      </c>
      <c r="B29" s="5">
        <f>+B27*0.23</f>
        <v>253</v>
      </c>
      <c r="D29" s="243"/>
      <c r="E29" s="1" t="s">
        <v>45</v>
      </c>
      <c r="G29" s="1" t="s">
        <v>41</v>
      </c>
      <c r="I29" s="1" t="s">
        <v>46</v>
      </c>
    </row>
    <row r="30" spans="1:16">
      <c r="A30" s="1" t="s">
        <v>31</v>
      </c>
      <c r="B30" s="5">
        <f>+B27*0.05+B26*0.05</f>
        <v>55</v>
      </c>
      <c r="D30" s="5">
        <v>500</v>
      </c>
      <c r="E30" s="5">
        <f>+D30*0.78*0.85</f>
        <v>331.5</v>
      </c>
      <c r="G30" s="5">
        <f>+E30*G28/E28</f>
        <v>442</v>
      </c>
      <c r="I30" s="5"/>
    </row>
    <row r="31" spans="1:16">
      <c r="B31" s="11">
        <f>SUM(B28:B30)</f>
        <v>946</v>
      </c>
      <c r="G31" s="13">
        <f>+G30/1.4284</f>
        <v>309.43713245589475</v>
      </c>
    </row>
    <row r="32" spans="1:16">
      <c r="A32" s="7" t="s">
        <v>36</v>
      </c>
      <c r="B32" s="8">
        <v>100</v>
      </c>
    </row>
    <row r="33" spans="1:23">
      <c r="A33" s="1" t="s">
        <v>30</v>
      </c>
      <c r="B33" s="5">
        <f>+B32*0.78</f>
        <v>78</v>
      </c>
      <c r="U33" s="1" t="s">
        <v>29</v>
      </c>
      <c r="V33" s="15">
        <f>+J2/($J$2+$J$3+$J$7)</f>
        <v>0.3436115214180207</v>
      </c>
      <c r="W33" s="17"/>
    </row>
    <row r="34" spans="1:23">
      <c r="B34" s="5"/>
      <c r="U34" s="1" t="s">
        <v>35</v>
      </c>
      <c r="V34" s="15">
        <f>+J7/($J$2+$J$3+$J$7)</f>
        <v>0.39512555391432785</v>
      </c>
      <c r="W34" s="17"/>
    </row>
    <row r="35" spans="1:23">
      <c r="A35" s="1" t="s">
        <v>74</v>
      </c>
      <c r="B35" s="1" t="s">
        <v>34</v>
      </c>
      <c r="U35" s="1" t="s">
        <v>31</v>
      </c>
      <c r="V35" s="15">
        <f>+J3/($J$2+$J$3+$J$7)</f>
        <v>0.26126292466765144</v>
      </c>
      <c r="W35" s="17"/>
    </row>
    <row r="36" spans="1:23">
      <c r="A36" s="10">
        <f>+C17-C19</f>
        <v>141.52500000000001</v>
      </c>
      <c r="B36" s="3">
        <f>+A36/55*(55+16)</f>
        <v>182.69590909090908</v>
      </c>
      <c r="U36" s="18" t="s">
        <v>63</v>
      </c>
      <c r="V36" s="19">
        <v>0.15</v>
      </c>
      <c r="W36" s="17"/>
    </row>
    <row r="37" spans="1:23">
      <c r="V37" s="17"/>
    </row>
    <row r="38" spans="1:23">
      <c r="B38" s="1" t="s">
        <v>75</v>
      </c>
    </row>
    <row r="39" spans="1:23">
      <c r="B39" s="10">
        <f>+A36/55*16/1.4284</f>
        <v>28.823095135052572</v>
      </c>
    </row>
    <row r="41" spans="1:23">
      <c r="A41" s="1" t="s">
        <v>6</v>
      </c>
      <c r="B41" s="5">
        <f>+B17*1.5-B19</f>
        <v>686.25000000000023</v>
      </c>
    </row>
    <row r="42" spans="1:23">
      <c r="A42" s="1" t="s">
        <v>7</v>
      </c>
      <c r="B42" s="5">
        <f>+B41/0.6</f>
        <v>1143.7500000000005</v>
      </c>
    </row>
    <row r="43" spans="1:23">
      <c r="A43" s="1" t="s">
        <v>27</v>
      </c>
      <c r="B43" s="5">
        <f>+B42*0.23</f>
        <v>263.06250000000011</v>
      </c>
    </row>
    <row r="44" spans="1:23">
      <c r="A44" s="1" t="s">
        <v>8</v>
      </c>
    </row>
    <row r="53" spans="1:11">
      <c r="K53" s="2" t="s">
        <v>59</v>
      </c>
    </row>
    <row r="54" spans="1:11">
      <c r="K54" s="2" t="s">
        <v>60</v>
      </c>
    </row>
    <row r="63" spans="1:11" ht="15">
      <c r="A63" s="24" t="s">
        <v>10</v>
      </c>
      <c r="B63" s="25">
        <v>10</v>
      </c>
      <c r="D63" s="2" t="s">
        <v>9</v>
      </c>
      <c r="E63" s="1">
        <v>7</v>
      </c>
    </row>
    <row r="64" spans="1:11" ht="15">
      <c r="A64" s="24" t="s">
        <v>11</v>
      </c>
      <c r="B64" s="25">
        <v>2</v>
      </c>
      <c r="D64" s="2" t="s">
        <v>10</v>
      </c>
      <c r="E64" s="1">
        <v>10</v>
      </c>
    </row>
    <row r="65" spans="1:5" ht="15">
      <c r="A65" s="24" t="s">
        <v>64</v>
      </c>
      <c r="B65" s="25">
        <v>0</v>
      </c>
      <c r="D65" s="2" t="s">
        <v>11</v>
      </c>
      <c r="E65" s="1">
        <v>2</v>
      </c>
    </row>
    <row r="66" spans="1:5" ht="15">
      <c r="A66" s="24" t="s">
        <v>65</v>
      </c>
      <c r="B66" s="25">
        <v>0</v>
      </c>
      <c r="D66" s="2" t="s">
        <v>12</v>
      </c>
      <c r="E66" s="1">
        <v>1</v>
      </c>
    </row>
    <row r="67" spans="1:5" ht="15">
      <c r="A67" s="24" t="s">
        <v>12</v>
      </c>
      <c r="B67" s="25">
        <v>1</v>
      </c>
      <c r="D67" s="2" t="s">
        <v>13</v>
      </c>
      <c r="E67" s="1">
        <v>4</v>
      </c>
    </row>
    <row r="68" spans="1:5" ht="15">
      <c r="A68" s="22" t="s">
        <v>66</v>
      </c>
      <c r="B68" s="25">
        <v>7</v>
      </c>
      <c r="D68" s="2" t="s">
        <v>14</v>
      </c>
      <c r="E68" s="1">
        <v>1</v>
      </c>
    </row>
    <row r="69" spans="1:5" ht="15">
      <c r="A69" s="24" t="s">
        <v>13</v>
      </c>
      <c r="B69" s="25">
        <v>4</v>
      </c>
      <c r="D69" s="2" t="s">
        <v>15</v>
      </c>
      <c r="E69" s="1">
        <v>4</v>
      </c>
    </row>
    <row r="70" spans="1:5" ht="15">
      <c r="A70" s="24" t="s">
        <v>14</v>
      </c>
      <c r="B70" s="25">
        <v>1</v>
      </c>
      <c r="D70" s="2" t="s">
        <v>16</v>
      </c>
      <c r="E70" s="1">
        <v>5</v>
      </c>
    </row>
    <row r="71" spans="1:5" ht="15">
      <c r="A71" s="24" t="s">
        <v>15</v>
      </c>
      <c r="B71" s="25">
        <v>3</v>
      </c>
      <c r="D71" s="2" t="s">
        <v>17</v>
      </c>
    </row>
    <row r="72" spans="1:5" ht="15">
      <c r="A72" s="26" t="s">
        <v>67</v>
      </c>
      <c r="B72" s="25">
        <v>0</v>
      </c>
      <c r="D72" s="2" t="s">
        <v>18</v>
      </c>
    </row>
    <row r="73" spans="1:5" ht="15">
      <c r="A73" s="26" t="s">
        <v>68</v>
      </c>
      <c r="B73" s="25">
        <v>1</v>
      </c>
      <c r="D73" s="2" t="s">
        <v>19</v>
      </c>
    </row>
    <row r="74" spans="1:5" ht="15">
      <c r="A74" s="27"/>
      <c r="B74" s="25">
        <v>29</v>
      </c>
      <c r="E74" s="1">
        <f>SUM(E63:E73)</f>
        <v>34</v>
      </c>
    </row>
    <row r="75" spans="1:5" ht="15">
      <c r="A75" s="23"/>
      <c r="B75" s="23"/>
    </row>
    <row r="76" spans="1:5" ht="15">
      <c r="A76" s="24" t="s">
        <v>69</v>
      </c>
      <c r="B76" s="25">
        <v>0</v>
      </c>
    </row>
    <row r="77" spans="1:5" ht="15">
      <c r="A77" s="24" t="s">
        <v>70</v>
      </c>
      <c r="B77" s="25">
        <v>0</v>
      </c>
    </row>
    <row r="78" spans="1:5" ht="15">
      <c r="A78" s="24" t="s">
        <v>16</v>
      </c>
      <c r="B78" s="25">
        <v>5</v>
      </c>
    </row>
    <row r="82" spans="1:8">
      <c r="A82" s="35" t="s">
        <v>10</v>
      </c>
      <c r="B82" s="36">
        <v>9030</v>
      </c>
      <c r="C82" s="36">
        <f t="shared" ref="C82:C92" si="4">+B82*(1-F82)</f>
        <v>7765.8</v>
      </c>
      <c r="D82" s="36">
        <f>+B82-C82</f>
        <v>1264.1999999999998</v>
      </c>
      <c r="E82" s="37">
        <v>0.86</v>
      </c>
      <c r="F82" s="37">
        <f t="shared" ref="F82:F92" si="5">1-E82</f>
        <v>0.14000000000000001</v>
      </c>
      <c r="G82" s="38">
        <v>322.20999999999998</v>
      </c>
      <c r="H82" s="37"/>
    </row>
    <row r="83" spans="1:8">
      <c r="A83" s="35" t="s">
        <v>76</v>
      </c>
      <c r="B83" s="36">
        <v>3560</v>
      </c>
      <c r="C83" s="36">
        <f t="shared" si="4"/>
        <v>3061.6</v>
      </c>
      <c r="D83" s="36">
        <f t="shared" ref="D83:D92" si="6">+B83-C83</f>
        <v>498.40000000000009</v>
      </c>
      <c r="E83" s="37">
        <v>0.86</v>
      </c>
      <c r="F83" s="37">
        <f t="shared" si="5"/>
        <v>0.14000000000000001</v>
      </c>
      <c r="G83" s="38">
        <v>322.20999999999998</v>
      </c>
      <c r="H83" s="37"/>
    </row>
    <row r="84" spans="1:8">
      <c r="A84" s="35" t="s">
        <v>9</v>
      </c>
      <c r="B84" s="36">
        <v>11930</v>
      </c>
      <c r="C84" s="36">
        <f t="shared" si="4"/>
        <v>10474.540000000001</v>
      </c>
      <c r="D84" s="36">
        <f t="shared" si="6"/>
        <v>1455.4599999999991</v>
      </c>
      <c r="E84" s="37">
        <v>0.878</v>
      </c>
      <c r="F84" s="37">
        <f t="shared" si="5"/>
        <v>0.122</v>
      </c>
      <c r="G84" s="38">
        <v>432.2</v>
      </c>
      <c r="H84" s="37"/>
    </row>
    <row r="85" spans="1:8">
      <c r="A85" s="35" t="s">
        <v>13</v>
      </c>
      <c r="B85" s="36">
        <v>2630</v>
      </c>
      <c r="C85" s="36">
        <f t="shared" si="4"/>
        <v>2406.4500000000003</v>
      </c>
      <c r="D85" s="36">
        <f t="shared" si="6"/>
        <v>223.54999999999973</v>
      </c>
      <c r="E85" s="37">
        <v>0.91500000000000004</v>
      </c>
      <c r="F85" s="37">
        <f t="shared" si="5"/>
        <v>8.4999999999999964E-2</v>
      </c>
      <c r="G85" s="38">
        <v>423.09</v>
      </c>
      <c r="H85" s="37"/>
    </row>
    <row r="86" spans="1:8">
      <c r="A86" s="35" t="s">
        <v>77</v>
      </c>
      <c r="B86" s="36">
        <v>1750</v>
      </c>
      <c r="C86" s="36">
        <f t="shared" si="4"/>
        <v>1452.5</v>
      </c>
      <c r="D86" s="36">
        <f t="shared" si="6"/>
        <v>297.5</v>
      </c>
      <c r="E86" s="37">
        <v>0.83</v>
      </c>
      <c r="F86" s="37">
        <f t="shared" si="5"/>
        <v>0.17000000000000004</v>
      </c>
      <c r="G86" s="38">
        <v>46.07</v>
      </c>
      <c r="H86" s="37"/>
    </row>
    <row r="87" spans="1:8">
      <c r="A87" s="35" t="s">
        <v>78</v>
      </c>
      <c r="B87" s="36">
        <f>+$B$13*H87</f>
        <v>0</v>
      </c>
      <c r="C87" s="36">
        <f t="shared" si="4"/>
        <v>0</v>
      </c>
      <c r="D87" s="36">
        <f t="shared" si="6"/>
        <v>0</v>
      </c>
      <c r="E87" s="37">
        <v>0.83</v>
      </c>
      <c r="F87" s="37">
        <f t="shared" si="5"/>
        <v>0.17000000000000004</v>
      </c>
      <c r="G87" s="38">
        <v>43.32</v>
      </c>
      <c r="H87" s="37"/>
    </row>
    <row r="88" spans="1:8">
      <c r="A88" s="35" t="s">
        <v>79</v>
      </c>
      <c r="B88" s="36">
        <f>+$B$13*H88</f>
        <v>0</v>
      </c>
      <c r="C88" s="36">
        <f t="shared" si="4"/>
        <v>0</v>
      </c>
      <c r="D88" s="36">
        <f t="shared" si="6"/>
        <v>0</v>
      </c>
      <c r="E88" s="37">
        <v>0.78</v>
      </c>
      <c r="F88" s="37">
        <f t="shared" si="5"/>
        <v>0.21999999999999997</v>
      </c>
      <c r="G88" s="38">
        <v>30.94</v>
      </c>
      <c r="H88" s="37"/>
    </row>
    <row r="89" spans="1:8">
      <c r="A89" s="35" t="s">
        <v>80</v>
      </c>
      <c r="B89" s="36">
        <f>+$B$13*H89</f>
        <v>0</v>
      </c>
      <c r="C89" s="36">
        <f t="shared" si="4"/>
        <v>0</v>
      </c>
      <c r="D89" s="36">
        <f t="shared" si="6"/>
        <v>0</v>
      </c>
      <c r="E89" s="37">
        <v>0.78</v>
      </c>
      <c r="F89" s="37">
        <f t="shared" si="5"/>
        <v>0.21999999999999997</v>
      </c>
      <c r="G89" s="38">
        <v>16.46</v>
      </c>
      <c r="H89" s="37"/>
    </row>
    <row r="90" spans="1:8">
      <c r="A90" s="35" t="s">
        <v>81</v>
      </c>
      <c r="B90" s="36">
        <v>8080</v>
      </c>
      <c r="C90" s="36">
        <f t="shared" si="4"/>
        <v>7514.4000000000005</v>
      </c>
      <c r="D90" s="36">
        <f t="shared" si="6"/>
        <v>565.59999999999945</v>
      </c>
      <c r="E90" s="37">
        <v>0.93</v>
      </c>
      <c r="F90" s="37">
        <f t="shared" si="5"/>
        <v>6.9999999999999951E-2</v>
      </c>
      <c r="G90" s="38">
        <v>475.87</v>
      </c>
      <c r="H90" s="37"/>
    </row>
    <row r="91" spans="1:8">
      <c r="A91" s="35" t="s">
        <v>82</v>
      </c>
      <c r="B91" s="36">
        <f>+$B$13*H91</f>
        <v>0</v>
      </c>
      <c r="C91" s="36">
        <f t="shared" si="4"/>
        <v>0</v>
      </c>
      <c r="D91" s="36">
        <f t="shared" si="6"/>
        <v>0</v>
      </c>
      <c r="E91" s="37">
        <v>0.91</v>
      </c>
      <c r="F91" s="37">
        <f t="shared" si="5"/>
        <v>8.9999999999999969E-2</v>
      </c>
      <c r="G91" s="38">
        <v>482.76</v>
      </c>
      <c r="H91" s="37"/>
    </row>
    <row r="92" spans="1:8">
      <c r="A92" s="35" t="s">
        <v>83</v>
      </c>
      <c r="B92" s="36">
        <v>600</v>
      </c>
      <c r="C92" s="36">
        <f t="shared" si="4"/>
        <v>528</v>
      </c>
      <c r="D92" s="36">
        <f t="shared" si="6"/>
        <v>72</v>
      </c>
      <c r="E92" s="37">
        <v>0.88</v>
      </c>
      <c r="F92" s="37">
        <f t="shared" si="5"/>
        <v>0.12</v>
      </c>
      <c r="G92" s="38">
        <v>322.20999999999998</v>
      </c>
      <c r="H92" s="37"/>
    </row>
    <row r="93" spans="1:8">
      <c r="B93" s="3">
        <f>SUM(B82:B92)</f>
        <v>37580</v>
      </c>
      <c r="C93" s="3">
        <f>SUM(C82:C92)</f>
        <v>33203.290000000008</v>
      </c>
      <c r="H93" s="15">
        <f>+C93/B93</f>
        <v>0.88353618946248025</v>
      </c>
    </row>
    <row r="94" spans="1:8">
      <c r="C94" s="1">
        <v>32700</v>
      </c>
      <c r="H94" s="15">
        <f>+C94/B93</f>
        <v>0.87014369345396492</v>
      </c>
    </row>
    <row r="95" spans="1:8">
      <c r="C95" s="1">
        <v>30600</v>
      </c>
      <c r="H95" s="15">
        <f>+C95/C94</f>
        <v>0.93577981651376152</v>
      </c>
    </row>
  </sheetData>
  <mergeCells count="2">
    <mergeCell ref="D22:D23"/>
    <mergeCell ref="D28:D29"/>
  </mergeCells>
  <pageMargins left="0.7" right="0.7" top="0.75" bottom="0.75" header="0.3" footer="0.3"/>
  <pageSetup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5"/>
  <sheetViews>
    <sheetView topLeftCell="A6" workbookViewId="0">
      <selection activeCell="B36" sqref="B36"/>
    </sheetView>
  </sheetViews>
  <sheetFormatPr baseColWidth="10" defaultRowHeight="14.4"/>
  <sheetData>
    <row r="1" spans="1:8">
      <c r="A1">
        <v>34</v>
      </c>
      <c r="B1">
        <v>28</v>
      </c>
      <c r="C1" s="140">
        <v>0.875</v>
      </c>
      <c r="D1" s="101">
        <f>+A1*0.91-B1</f>
        <v>2.9400000000000013</v>
      </c>
      <c r="E1" s="140">
        <f>+C2-C1</f>
        <v>2.777777777777779E-2</v>
      </c>
      <c r="H1">
        <f>31/34</f>
        <v>0.91176470588235292</v>
      </c>
    </row>
    <row r="2" spans="1:8">
      <c r="A2">
        <v>34</v>
      </c>
      <c r="B2">
        <v>28</v>
      </c>
      <c r="C2" s="140">
        <v>0.90277777777777779</v>
      </c>
      <c r="D2" s="101">
        <f>+A2*0.91176471-B2+D1</f>
        <v>5.9400001400000022</v>
      </c>
    </row>
    <row r="3" spans="1:8">
      <c r="A3">
        <v>34</v>
      </c>
      <c r="B3">
        <f>+A3-3</f>
        <v>31</v>
      </c>
      <c r="C3" s="140">
        <f>+C2+$E$1</f>
        <v>0.93055555555555558</v>
      </c>
      <c r="D3" s="101">
        <f t="shared" ref="D3:D32" si="0">+A3*0.91176471-B3+D2</f>
        <v>5.9400002800000031</v>
      </c>
    </row>
    <row r="4" spans="1:8">
      <c r="A4">
        <v>34</v>
      </c>
      <c r="B4">
        <f t="shared" ref="B4:B31" si="1">+A4-3</f>
        <v>31</v>
      </c>
      <c r="C4" s="140">
        <f t="shared" ref="C4:C33" si="2">+C3+$E$1</f>
        <v>0.95833333333333337</v>
      </c>
      <c r="D4" s="101">
        <f t="shared" si="0"/>
        <v>5.9400004200000041</v>
      </c>
    </row>
    <row r="5" spans="1:8">
      <c r="A5">
        <v>34</v>
      </c>
      <c r="B5">
        <f t="shared" si="1"/>
        <v>31</v>
      </c>
      <c r="C5" s="140">
        <f t="shared" si="2"/>
        <v>0.98611111111111116</v>
      </c>
      <c r="D5" s="101">
        <f t="shared" si="0"/>
        <v>5.940000560000005</v>
      </c>
    </row>
    <row r="6" spans="1:8">
      <c r="A6">
        <v>34</v>
      </c>
      <c r="B6">
        <f t="shared" si="1"/>
        <v>31</v>
      </c>
      <c r="C6" s="140">
        <f t="shared" si="2"/>
        <v>1.0138888888888888</v>
      </c>
      <c r="D6" s="101">
        <f t="shared" si="0"/>
        <v>5.9400007000000059</v>
      </c>
    </row>
    <row r="7" spans="1:8">
      <c r="A7">
        <v>34</v>
      </c>
      <c r="B7">
        <f t="shared" si="1"/>
        <v>31</v>
      </c>
      <c r="C7" s="140">
        <f t="shared" si="2"/>
        <v>1.0416666666666665</v>
      </c>
      <c r="D7" s="101">
        <f t="shared" si="0"/>
        <v>5.9400008400000068</v>
      </c>
    </row>
    <row r="8" spans="1:8">
      <c r="A8">
        <v>34</v>
      </c>
      <c r="B8">
        <f t="shared" si="1"/>
        <v>31</v>
      </c>
      <c r="C8" s="140">
        <f t="shared" si="2"/>
        <v>1.0694444444444442</v>
      </c>
      <c r="D8" s="101">
        <f t="shared" si="0"/>
        <v>5.9400009800000078</v>
      </c>
    </row>
    <row r="9" spans="1:8">
      <c r="A9">
        <v>34</v>
      </c>
      <c r="B9">
        <f t="shared" si="1"/>
        <v>31</v>
      </c>
      <c r="C9" s="140">
        <f t="shared" si="2"/>
        <v>1.0972222222222219</v>
      </c>
      <c r="D9" s="101">
        <f t="shared" si="0"/>
        <v>5.9400011200000087</v>
      </c>
    </row>
    <row r="10" spans="1:8">
      <c r="A10">
        <v>34</v>
      </c>
      <c r="B10">
        <f t="shared" si="1"/>
        <v>31</v>
      </c>
      <c r="C10" s="140">
        <f t="shared" si="2"/>
        <v>1.1249999999999996</v>
      </c>
      <c r="D10" s="101">
        <f t="shared" si="0"/>
        <v>5.9400012600000096</v>
      </c>
    </row>
    <row r="11" spans="1:8">
      <c r="A11">
        <v>34</v>
      </c>
      <c r="B11">
        <f t="shared" si="1"/>
        <v>31</v>
      </c>
      <c r="C11" s="140">
        <f t="shared" si="2"/>
        <v>1.1527777777777772</v>
      </c>
      <c r="D11" s="101">
        <f t="shared" si="0"/>
        <v>5.9400014000000105</v>
      </c>
    </row>
    <row r="12" spans="1:8">
      <c r="A12">
        <v>34</v>
      </c>
      <c r="B12">
        <f t="shared" si="1"/>
        <v>31</v>
      </c>
      <c r="C12" s="140">
        <f t="shared" si="2"/>
        <v>1.1805555555555549</v>
      </c>
      <c r="D12" s="101">
        <f t="shared" si="0"/>
        <v>5.9400015400000115</v>
      </c>
    </row>
    <row r="13" spans="1:8">
      <c r="A13">
        <v>34</v>
      </c>
      <c r="B13">
        <f t="shared" si="1"/>
        <v>31</v>
      </c>
      <c r="C13" s="140">
        <f t="shared" si="2"/>
        <v>1.2083333333333326</v>
      </c>
      <c r="D13" s="101">
        <f t="shared" si="0"/>
        <v>5.9400016800000124</v>
      </c>
    </row>
    <row r="14" spans="1:8">
      <c r="A14">
        <v>34</v>
      </c>
      <c r="B14">
        <f t="shared" si="1"/>
        <v>31</v>
      </c>
      <c r="C14" s="140">
        <f t="shared" si="2"/>
        <v>1.2361111111111103</v>
      </c>
      <c r="D14" s="101">
        <f t="shared" si="0"/>
        <v>5.9400018200000133</v>
      </c>
    </row>
    <row r="15" spans="1:8">
      <c r="A15">
        <v>34</v>
      </c>
      <c r="B15">
        <f t="shared" si="1"/>
        <v>31</v>
      </c>
      <c r="C15" s="140">
        <f t="shared" si="2"/>
        <v>1.263888888888888</v>
      </c>
      <c r="D15" s="101">
        <f t="shared" si="0"/>
        <v>5.9400019600000142</v>
      </c>
    </row>
    <row r="16" spans="1:8">
      <c r="A16">
        <v>34</v>
      </c>
      <c r="B16">
        <f t="shared" si="1"/>
        <v>31</v>
      </c>
      <c r="C16" s="140">
        <f t="shared" si="2"/>
        <v>1.2916666666666656</v>
      </c>
      <c r="D16" s="101">
        <f t="shared" si="0"/>
        <v>5.9400021000000152</v>
      </c>
    </row>
    <row r="17" spans="1:4">
      <c r="A17">
        <v>34</v>
      </c>
      <c r="B17">
        <f t="shared" si="1"/>
        <v>31</v>
      </c>
      <c r="C17" s="140">
        <f t="shared" si="2"/>
        <v>1.3194444444444433</v>
      </c>
      <c r="D17" s="101">
        <f t="shared" si="0"/>
        <v>5.9400022400000161</v>
      </c>
    </row>
    <row r="18" spans="1:4">
      <c r="A18">
        <v>34</v>
      </c>
      <c r="B18">
        <f t="shared" si="1"/>
        <v>31</v>
      </c>
      <c r="C18" s="140">
        <f t="shared" si="2"/>
        <v>1.347222222222221</v>
      </c>
      <c r="D18" s="101">
        <f t="shared" si="0"/>
        <v>5.940002380000017</v>
      </c>
    </row>
    <row r="19" spans="1:4">
      <c r="A19">
        <v>34</v>
      </c>
      <c r="B19">
        <f t="shared" si="1"/>
        <v>31</v>
      </c>
      <c r="C19" s="140">
        <f t="shared" si="2"/>
        <v>1.3749999999999987</v>
      </c>
      <c r="D19" s="101">
        <f t="shared" si="0"/>
        <v>5.9400025200000179</v>
      </c>
    </row>
    <row r="20" spans="1:4">
      <c r="A20">
        <v>34</v>
      </c>
      <c r="B20">
        <f t="shared" si="1"/>
        <v>31</v>
      </c>
      <c r="C20" s="140">
        <f>+C19+$E$1</f>
        <v>1.4027777777777763</v>
      </c>
      <c r="D20" s="101">
        <f t="shared" si="0"/>
        <v>5.9400026600000189</v>
      </c>
    </row>
    <row r="21" spans="1:4">
      <c r="A21">
        <v>34</v>
      </c>
      <c r="B21">
        <f t="shared" si="1"/>
        <v>31</v>
      </c>
      <c r="C21" s="140">
        <f t="shared" si="2"/>
        <v>1.430555555555554</v>
      </c>
      <c r="D21" s="101">
        <f t="shared" si="0"/>
        <v>5.9400028000000198</v>
      </c>
    </row>
    <row r="22" spans="1:4">
      <c r="A22">
        <v>34</v>
      </c>
      <c r="B22">
        <f t="shared" si="1"/>
        <v>31</v>
      </c>
      <c r="C22" s="140">
        <f t="shared" si="2"/>
        <v>1.4583333333333317</v>
      </c>
      <c r="D22" s="101">
        <f t="shared" si="0"/>
        <v>5.9400029400000207</v>
      </c>
    </row>
    <row r="23" spans="1:4">
      <c r="A23">
        <v>34</v>
      </c>
      <c r="B23">
        <f t="shared" si="1"/>
        <v>31</v>
      </c>
      <c r="C23" s="140">
        <f t="shared" si="2"/>
        <v>1.4861111111111094</v>
      </c>
      <c r="D23" s="101">
        <f t="shared" si="0"/>
        <v>5.9400030800000216</v>
      </c>
    </row>
    <row r="24" spans="1:4">
      <c r="A24">
        <v>34</v>
      </c>
      <c r="B24">
        <f t="shared" si="1"/>
        <v>31</v>
      </c>
      <c r="C24" s="140">
        <f t="shared" si="2"/>
        <v>1.5138888888888871</v>
      </c>
      <c r="D24" s="101">
        <f t="shared" si="0"/>
        <v>5.9400032200000226</v>
      </c>
    </row>
    <row r="25" spans="1:4">
      <c r="A25">
        <v>34</v>
      </c>
      <c r="B25">
        <f t="shared" si="1"/>
        <v>31</v>
      </c>
      <c r="C25" s="140">
        <f t="shared" si="2"/>
        <v>1.5416666666666647</v>
      </c>
      <c r="D25" s="101">
        <f t="shared" si="0"/>
        <v>5.9400033600000235</v>
      </c>
    </row>
    <row r="26" spans="1:4">
      <c r="A26">
        <v>34</v>
      </c>
      <c r="B26">
        <f t="shared" si="1"/>
        <v>31</v>
      </c>
      <c r="C26" s="140">
        <f t="shared" si="2"/>
        <v>1.5694444444444424</v>
      </c>
      <c r="D26" s="101">
        <f t="shared" si="0"/>
        <v>5.9400035000000244</v>
      </c>
    </row>
    <row r="27" spans="1:4">
      <c r="A27">
        <v>34</v>
      </c>
      <c r="B27">
        <f t="shared" si="1"/>
        <v>31</v>
      </c>
      <c r="C27" s="140">
        <f t="shared" si="2"/>
        <v>1.5972222222222201</v>
      </c>
      <c r="D27" s="101">
        <f t="shared" si="0"/>
        <v>5.9400036400000253</v>
      </c>
    </row>
    <row r="28" spans="1:4">
      <c r="A28">
        <v>34</v>
      </c>
      <c r="B28">
        <f t="shared" si="1"/>
        <v>31</v>
      </c>
      <c r="C28" s="140">
        <f t="shared" si="2"/>
        <v>1.6249999999999978</v>
      </c>
      <c r="D28" s="101">
        <f t="shared" si="0"/>
        <v>5.9400037800000263</v>
      </c>
    </row>
    <row r="29" spans="1:4">
      <c r="A29">
        <v>34</v>
      </c>
      <c r="B29">
        <f t="shared" si="1"/>
        <v>31</v>
      </c>
      <c r="C29" s="140">
        <f t="shared" si="2"/>
        <v>1.6527777777777755</v>
      </c>
      <c r="D29" s="101">
        <f t="shared" si="0"/>
        <v>5.9400039200000272</v>
      </c>
    </row>
    <row r="30" spans="1:4">
      <c r="A30">
        <v>34</v>
      </c>
      <c r="B30">
        <f t="shared" si="1"/>
        <v>31</v>
      </c>
      <c r="C30" s="140">
        <f t="shared" si="2"/>
        <v>1.6805555555555531</v>
      </c>
      <c r="D30" s="101">
        <f t="shared" si="0"/>
        <v>5.9400040600000281</v>
      </c>
    </row>
    <row r="31" spans="1:4">
      <c r="A31">
        <v>34</v>
      </c>
      <c r="B31">
        <f t="shared" si="1"/>
        <v>31</v>
      </c>
      <c r="C31" s="140">
        <f t="shared" si="2"/>
        <v>1.7083333333333308</v>
      </c>
      <c r="D31" s="101">
        <f t="shared" si="0"/>
        <v>5.940004200000029</v>
      </c>
    </row>
    <row r="32" spans="1:4">
      <c r="A32">
        <v>31</v>
      </c>
      <c r="B32">
        <v>31</v>
      </c>
      <c r="C32" s="140">
        <f t="shared" si="2"/>
        <v>1.7361111111111085</v>
      </c>
      <c r="D32" s="101">
        <f t="shared" si="0"/>
        <v>3.2047102100000302</v>
      </c>
    </row>
    <row r="33" spans="1:4">
      <c r="A33">
        <v>31</v>
      </c>
      <c r="B33">
        <v>31</v>
      </c>
      <c r="C33" s="140">
        <f t="shared" si="2"/>
        <v>1.7638888888888862</v>
      </c>
      <c r="D33" s="101">
        <f>+A33*0.91176471-B33+D32</f>
        <v>0.46941622000003136</v>
      </c>
    </row>
    <row r="34" spans="1:4">
      <c r="C34" s="140"/>
    </row>
    <row r="35" spans="1:4">
      <c r="B35">
        <f>SUM(B1:B34)</f>
        <v>1017</v>
      </c>
      <c r="C35" s="141">
        <f>COUNTA(C1:C33)</f>
        <v>33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19"/>
  <sheetViews>
    <sheetView workbookViewId="0">
      <selection activeCell="J19" sqref="J19"/>
    </sheetView>
  </sheetViews>
  <sheetFormatPr baseColWidth="10" defaultRowHeight="14.4"/>
  <cols>
    <col min="1" max="1" width="18.6640625" bestFit="1" customWidth="1"/>
    <col min="2" max="2" width="5.44140625" bestFit="1" customWidth="1"/>
    <col min="3" max="3" width="7.33203125" bestFit="1" customWidth="1"/>
    <col min="4" max="4" width="8.109375" bestFit="1" customWidth="1"/>
    <col min="5" max="5" width="10.5546875" bestFit="1" customWidth="1"/>
    <col min="6" max="6" width="9.33203125" bestFit="1" customWidth="1"/>
    <col min="7" max="7" width="5.6640625" bestFit="1" customWidth="1"/>
    <col min="8" max="8" width="6.109375" bestFit="1" customWidth="1"/>
    <col min="9" max="9" width="12.88671875" bestFit="1" customWidth="1"/>
    <col min="10" max="10" width="18.109375" bestFit="1" customWidth="1"/>
    <col min="11" max="11" width="9.5546875" bestFit="1" customWidth="1"/>
    <col min="12" max="12" width="6.6640625" bestFit="1" customWidth="1"/>
    <col min="13" max="13" width="9.5546875" bestFit="1" customWidth="1"/>
    <col min="14" max="14" width="6.6640625" bestFit="1" customWidth="1"/>
    <col min="15" max="15" width="9.5546875" bestFit="1" customWidth="1"/>
    <col min="16" max="16" width="6.6640625" bestFit="1" customWidth="1"/>
    <col min="17" max="17" width="9.5546875" bestFit="1" customWidth="1"/>
    <col min="18" max="18" width="7.88671875" bestFit="1" customWidth="1"/>
    <col min="19" max="19" width="11.33203125" bestFit="1" customWidth="1"/>
    <col min="20" max="20" width="11" bestFit="1" customWidth="1"/>
  </cols>
  <sheetData>
    <row r="1" spans="1:20">
      <c r="A1" s="105" t="s">
        <v>0</v>
      </c>
      <c r="B1" s="105" t="s">
        <v>3</v>
      </c>
      <c r="C1" s="105" t="s">
        <v>21</v>
      </c>
      <c r="D1" s="105" t="s">
        <v>214</v>
      </c>
      <c r="E1" s="105" t="s">
        <v>4</v>
      </c>
      <c r="F1" s="105" t="s">
        <v>84</v>
      </c>
      <c r="G1" s="105" t="s">
        <v>184</v>
      </c>
      <c r="H1" s="105" t="s">
        <v>86</v>
      </c>
      <c r="I1" s="105" t="s">
        <v>188</v>
      </c>
      <c r="J1" s="105" t="s">
        <v>189</v>
      </c>
      <c r="K1" s="105" t="s">
        <v>190</v>
      </c>
      <c r="L1" s="108" t="s">
        <v>191</v>
      </c>
      <c r="M1" s="105" t="s">
        <v>192</v>
      </c>
      <c r="N1" s="108" t="s">
        <v>193</v>
      </c>
      <c r="O1" s="105" t="s">
        <v>195</v>
      </c>
      <c r="P1" s="108" t="s">
        <v>196</v>
      </c>
      <c r="Q1" s="105" t="s">
        <v>197</v>
      </c>
      <c r="R1" s="108" t="s">
        <v>198</v>
      </c>
      <c r="S1" s="105" t="s">
        <v>203</v>
      </c>
      <c r="T1" s="127">
        <v>29000</v>
      </c>
    </row>
    <row r="2" spans="1:20">
      <c r="A2" s="35" t="s">
        <v>221</v>
      </c>
      <c r="B2" s="123">
        <f t="shared" ref="B2:B9" si="0">+$B$10*H2</f>
        <v>0</v>
      </c>
      <c r="C2" s="36">
        <f t="shared" ref="C2:C9" si="1">+B2*(1-F2)</f>
        <v>0</v>
      </c>
      <c r="D2" s="36">
        <f t="shared" ref="D2:D9" si="2">+B2-C2</f>
        <v>0</v>
      </c>
      <c r="E2" s="37">
        <v>0.95</v>
      </c>
      <c r="F2" s="37">
        <f t="shared" ref="F2:F8" si="3">1-E2</f>
        <v>5.0000000000000044E-2</v>
      </c>
      <c r="G2" s="38"/>
      <c r="H2" s="107"/>
      <c r="I2" s="38">
        <v>1.3</v>
      </c>
      <c r="J2" s="124">
        <f t="shared" ref="J2:J8" si="4">+B2/I2</f>
        <v>0</v>
      </c>
      <c r="K2" s="36"/>
      <c r="L2" s="109">
        <f t="shared" ref="L2:L9" si="5">+K2*I2</f>
        <v>0</v>
      </c>
      <c r="M2" s="36">
        <f>+J2-K2</f>
        <v>0</v>
      </c>
      <c r="N2" s="109">
        <f t="shared" ref="N2:N9" si="6">+M2*I2</f>
        <v>0</v>
      </c>
      <c r="O2" s="36"/>
      <c r="P2" s="109">
        <f>+O2*I2</f>
        <v>0</v>
      </c>
      <c r="Q2" s="36"/>
      <c r="R2" s="109">
        <f>+I2*Q2</f>
        <v>0</v>
      </c>
      <c r="S2" s="125">
        <f>+B2*$T$2</f>
        <v>0</v>
      </c>
      <c r="T2" s="100">
        <f>+T1/C15</f>
        <v>981.0539205164323</v>
      </c>
    </row>
    <row r="3" spans="1:20">
      <c r="A3" s="118" t="s">
        <v>223</v>
      </c>
      <c r="B3" s="123">
        <f t="shared" si="0"/>
        <v>0</v>
      </c>
      <c r="C3" s="36">
        <f t="shared" si="1"/>
        <v>0</v>
      </c>
      <c r="D3" s="36">
        <f t="shared" si="2"/>
        <v>0</v>
      </c>
      <c r="E3" s="37">
        <v>0.94</v>
      </c>
      <c r="F3" s="37">
        <f t="shared" si="3"/>
        <v>6.0000000000000053E-2</v>
      </c>
      <c r="G3" s="38">
        <v>175</v>
      </c>
      <c r="H3" s="107"/>
      <c r="I3" s="38">
        <v>1</v>
      </c>
      <c r="J3" s="124">
        <f t="shared" si="4"/>
        <v>0</v>
      </c>
      <c r="K3" s="36"/>
      <c r="L3" s="109">
        <f t="shared" si="5"/>
        <v>0</v>
      </c>
      <c r="M3" s="36">
        <f t="shared" ref="M3:M9" si="7">+J3-K3</f>
        <v>0</v>
      </c>
      <c r="N3" s="109">
        <f t="shared" si="6"/>
        <v>0</v>
      </c>
      <c r="O3" s="36"/>
      <c r="P3" s="109">
        <f t="shared" ref="P3:P9" si="8">+O3*I3</f>
        <v>0</v>
      </c>
      <c r="Q3" s="36"/>
      <c r="R3" s="109">
        <f t="shared" ref="R3:R9" si="9">+I3*Q3</f>
        <v>0</v>
      </c>
      <c r="S3" s="125">
        <f t="shared" ref="S3:S9" si="10">+B3*$T$2</f>
        <v>0</v>
      </c>
      <c r="T3" t="s">
        <v>204</v>
      </c>
    </row>
    <row r="4" spans="1:20">
      <c r="A4" s="115" t="s">
        <v>10</v>
      </c>
      <c r="B4" s="123">
        <f t="shared" si="0"/>
        <v>16.5</v>
      </c>
      <c r="C4" s="36">
        <f t="shared" si="1"/>
        <v>14.52</v>
      </c>
      <c r="D4" s="36">
        <f t="shared" si="2"/>
        <v>1.9800000000000004</v>
      </c>
      <c r="E4" s="37">
        <v>0.88</v>
      </c>
      <c r="F4" s="37">
        <f t="shared" si="3"/>
        <v>0.12</v>
      </c>
      <c r="G4" s="38">
        <v>213.7</v>
      </c>
      <c r="H4" s="107">
        <v>0.5</v>
      </c>
      <c r="I4" s="38">
        <v>0.35</v>
      </c>
      <c r="J4" s="124">
        <f t="shared" si="4"/>
        <v>47.142857142857146</v>
      </c>
      <c r="K4" s="36">
        <v>17</v>
      </c>
      <c r="L4" s="109">
        <f t="shared" si="5"/>
        <v>5.9499999999999993</v>
      </c>
      <c r="M4" s="36">
        <v>11</v>
      </c>
      <c r="N4" s="109">
        <f t="shared" si="6"/>
        <v>3.8499999999999996</v>
      </c>
      <c r="O4" s="36">
        <v>11</v>
      </c>
      <c r="P4" s="109">
        <f t="shared" si="8"/>
        <v>3.8499999999999996</v>
      </c>
      <c r="Q4" s="36">
        <f>+J4-K4-M4-O4</f>
        <v>8.1428571428571459</v>
      </c>
      <c r="R4" s="109">
        <f t="shared" si="9"/>
        <v>2.850000000000001</v>
      </c>
      <c r="S4" s="125">
        <f t="shared" si="10"/>
        <v>16187.389688521132</v>
      </c>
    </row>
    <row r="5" spans="1:20">
      <c r="A5" s="117" t="s">
        <v>222</v>
      </c>
      <c r="B5" s="123">
        <f t="shared" si="0"/>
        <v>7.92</v>
      </c>
      <c r="C5" s="36">
        <f t="shared" si="1"/>
        <v>7.7615999999999996</v>
      </c>
      <c r="D5" s="36">
        <f t="shared" si="2"/>
        <v>0.15840000000000032</v>
      </c>
      <c r="E5" s="37">
        <v>0.98</v>
      </c>
      <c r="F5" s="37">
        <f t="shared" si="3"/>
        <v>2.0000000000000018E-2</v>
      </c>
      <c r="G5" s="38">
        <v>175</v>
      </c>
      <c r="H5" s="107">
        <v>0.24</v>
      </c>
      <c r="I5" s="38">
        <v>1.1000000000000001</v>
      </c>
      <c r="J5" s="124">
        <f t="shared" si="4"/>
        <v>7.1999999999999993</v>
      </c>
      <c r="K5" s="36">
        <v>2.7</v>
      </c>
      <c r="L5" s="109">
        <f t="shared" si="5"/>
        <v>2.9700000000000006</v>
      </c>
      <c r="M5" s="36">
        <v>2.7</v>
      </c>
      <c r="N5" s="109">
        <f t="shared" si="6"/>
        <v>2.9700000000000006</v>
      </c>
      <c r="O5" s="36">
        <f>+J5-K5-M5</f>
        <v>1.7999999999999989</v>
      </c>
      <c r="P5" s="109">
        <f t="shared" si="8"/>
        <v>1.9799999999999991</v>
      </c>
      <c r="Q5" s="36"/>
      <c r="R5" s="109">
        <f t="shared" si="9"/>
        <v>0</v>
      </c>
      <c r="S5" s="125">
        <f t="shared" si="10"/>
        <v>7769.9470504901437</v>
      </c>
    </row>
    <row r="6" spans="1:20">
      <c r="A6" s="119" t="s">
        <v>224</v>
      </c>
      <c r="B6" s="123">
        <f t="shared" si="0"/>
        <v>0.66</v>
      </c>
      <c r="C6" s="36">
        <f t="shared" si="1"/>
        <v>0.46199999999999997</v>
      </c>
      <c r="D6" s="36">
        <f t="shared" si="2"/>
        <v>0.19800000000000006</v>
      </c>
      <c r="E6" s="37">
        <v>0.7</v>
      </c>
      <c r="F6" s="37">
        <f t="shared" si="3"/>
        <v>0.30000000000000004</v>
      </c>
      <c r="G6" s="38">
        <v>58.9</v>
      </c>
      <c r="H6" s="107">
        <v>0.02</v>
      </c>
      <c r="I6" s="38">
        <v>1</v>
      </c>
      <c r="J6" s="124">
        <f t="shared" si="4"/>
        <v>0.66</v>
      </c>
      <c r="K6" s="36">
        <v>0</v>
      </c>
      <c r="L6" s="109">
        <f t="shared" si="5"/>
        <v>0</v>
      </c>
      <c r="M6" s="36"/>
      <c r="N6" s="109">
        <f t="shared" si="6"/>
        <v>0</v>
      </c>
      <c r="O6" s="36"/>
      <c r="P6" s="109">
        <f t="shared" si="8"/>
        <v>0</v>
      </c>
      <c r="Q6" s="36"/>
      <c r="R6" s="109">
        <f t="shared" si="9"/>
        <v>0</v>
      </c>
      <c r="S6" s="125">
        <f t="shared" si="10"/>
        <v>647.49558754084535</v>
      </c>
    </row>
    <row r="7" spans="1:20">
      <c r="A7" s="120" t="s">
        <v>81</v>
      </c>
      <c r="B7" s="123">
        <f>+$B$10*H7</f>
        <v>5.9399999999999995</v>
      </c>
      <c r="C7" s="36">
        <f t="shared" si="1"/>
        <v>5.5241999999999996</v>
      </c>
      <c r="D7" s="36">
        <f t="shared" si="2"/>
        <v>0.41579999999999995</v>
      </c>
      <c r="E7" s="37">
        <v>0.93</v>
      </c>
      <c r="F7" s="37">
        <f t="shared" si="3"/>
        <v>6.9999999999999951E-2</v>
      </c>
      <c r="G7" s="38">
        <v>232.6</v>
      </c>
      <c r="H7" s="107">
        <v>0.18</v>
      </c>
      <c r="I7" s="38">
        <v>1</v>
      </c>
      <c r="J7" s="124">
        <f t="shared" si="4"/>
        <v>5.9399999999999995</v>
      </c>
      <c r="K7" s="36">
        <v>3</v>
      </c>
      <c r="L7" s="109">
        <f t="shared" si="5"/>
        <v>3</v>
      </c>
      <c r="M7" s="36">
        <f t="shared" si="7"/>
        <v>2.9399999999999995</v>
      </c>
      <c r="N7" s="109">
        <f t="shared" si="6"/>
        <v>2.9399999999999995</v>
      </c>
      <c r="O7" s="36"/>
      <c r="P7" s="109">
        <f t="shared" si="8"/>
        <v>0</v>
      </c>
      <c r="Q7" s="36"/>
      <c r="R7" s="109">
        <f t="shared" si="9"/>
        <v>0</v>
      </c>
      <c r="S7" s="125">
        <f t="shared" si="10"/>
        <v>5827.4602878676078</v>
      </c>
    </row>
    <row r="8" spans="1:20">
      <c r="A8" s="116" t="s">
        <v>82</v>
      </c>
      <c r="B8" s="123">
        <f t="shared" si="0"/>
        <v>0</v>
      </c>
      <c r="C8" s="36">
        <f t="shared" si="1"/>
        <v>0</v>
      </c>
      <c r="D8" s="36">
        <f t="shared" si="2"/>
        <v>0</v>
      </c>
      <c r="E8" s="37">
        <v>0.95</v>
      </c>
      <c r="F8" s="37">
        <f t="shared" si="3"/>
        <v>5.0000000000000044E-2</v>
      </c>
      <c r="G8" s="38">
        <v>315</v>
      </c>
      <c r="H8" s="107"/>
      <c r="I8" s="38">
        <v>4</v>
      </c>
      <c r="J8" s="124">
        <f t="shared" si="4"/>
        <v>0</v>
      </c>
      <c r="K8" s="36">
        <v>0</v>
      </c>
      <c r="L8" s="109">
        <f t="shared" si="5"/>
        <v>0</v>
      </c>
      <c r="M8" s="36">
        <f t="shared" si="7"/>
        <v>0</v>
      </c>
      <c r="N8" s="109">
        <f t="shared" si="6"/>
        <v>0</v>
      </c>
      <c r="O8" s="36"/>
      <c r="P8" s="109">
        <f>+O8*I8</f>
        <v>0</v>
      </c>
      <c r="Q8" s="36"/>
      <c r="R8" s="109">
        <f t="shared" si="9"/>
        <v>0</v>
      </c>
      <c r="S8" s="125">
        <f t="shared" si="10"/>
        <v>0</v>
      </c>
    </row>
    <row r="9" spans="1:20">
      <c r="A9" s="121" t="s">
        <v>83</v>
      </c>
      <c r="B9" s="123">
        <f t="shared" si="0"/>
        <v>1.98</v>
      </c>
      <c r="C9" s="36">
        <f t="shared" si="1"/>
        <v>1.7423999999999999</v>
      </c>
      <c r="D9" s="36">
        <f t="shared" si="2"/>
        <v>0.23760000000000003</v>
      </c>
      <c r="E9" s="37">
        <v>0.88</v>
      </c>
      <c r="F9" s="37">
        <f>1-E9</f>
        <v>0.12</v>
      </c>
      <c r="G9" s="38">
        <v>214.8</v>
      </c>
      <c r="H9" s="107">
        <v>0.06</v>
      </c>
      <c r="I9" s="38">
        <v>0.65</v>
      </c>
      <c r="J9" s="124">
        <f>+B9/I9</f>
        <v>3.046153846153846</v>
      </c>
      <c r="K9" s="36">
        <v>3</v>
      </c>
      <c r="L9" s="109">
        <f t="shared" si="5"/>
        <v>1.9500000000000002</v>
      </c>
      <c r="M9" s="36">
        <f t="shared" si="7"/>
        <v>4.615384615384599E-2</v>
      </c>
      <c r="N9" s="109">
        <f t="shared" si="6"/>
        <v>2.9999999999999895E-2</v>
      </c>
      <c r="O9" s="36"/>
      <c r="P9" s="109">
        <f t="shared" si="8"/>
        <v>0</v>
      </c>
      <c r="Q9" s="36"/>
      <c r="R9" s="109">
        <f t="shared" si="9"/>
        <v>0</v>
      </c>
      <c r="S9" s="125">
        <f t="shared" si="10"/>
        <v>1942.4867626225359</v>
      </c>
    </row>
    <row r="10" spans="1:20" ht="17.399999999999999">
      <c r="A10" s="32"/>
      <c r="B10" s="63">
        <v>33</v>
      </c>
      <c r="C10" s="32"/>
      <c r="D10" s="32"/>
      <c r="E10" s="32"/>
      <c r="F10" s="32"/>
      <c r="G10" s="32"/>
      <c r="H10" s="103">
        <f>SUM(H2:H9)</f>
        <v>1</v>
      </c>
      <c r="I10" s="143">
        <f>SUMPRODUCT(I2:I9,H2:H9)</f>
        <v>0.67800000000000005</v>
      </c>
      <c r="J10" s="104">
        <f t="shared" ref="J10:R10" si="11">SUM(J2:J9)</f>
        <v>63.989010989010978</v>
      </c>
      <c r="K10" s="106">
        <f t="shared" si="11"/>
        <v>25.7</v>
      </c>
      <c r="L10" s="110">
        <f t="shared" si="11"/>
        <v>13.870000000000001</v>
      </c>
      <c r="M10" s="106">
        <f t="shared" si="11"/>
        <v>16.686153846153847</v>
      </c>
      <c r="N10" s="110">
        <f t="shared" si="11"/>
        <v>9.7899999999999991</v>
      </c>
      <c r="O10" s="106">
        <f t="shared" si="11"/>
        <v>12.799999999999999</v>
      </c>
      <c r="P10" s="110">
        <f t="shared" si="11"/>
        <v>5.8299999999999983</v>
      </c>
      <c r="Q10" s="106">
        <f t="shared" si="11"/>
        <v>8.1428571428571459</v>
      </c>
      <c r="R10" s="110">
        <f t="shared" si="11"/>
        <v>2.850000000000001</v>
      </c>
      <c r="S10" s="145">
        <f>+B10*$T$2</f>
        <v>32374.779377042265</v>
      </c>
    </row>
    <row r="11" spans="1:20">
      <c r="A11" s="32" t="s">
        <v>2</v>
      </c>
      <c r="B11" s="38">
        <f>SUM(B2:B9)</f>
        <v>33</v>
      </c>
      <c r="C11" s="36">
        <f>SUM(C2:C9)</f>
        <v>30.010199999999998</v>
      </c>
      <c r="D11" s="36">
        <f>SUM(D2:D9)</f>
        <v>2.9898000000000007</v>
      </c>
      <c r="E11" s="36"/>
      <c r="F11" s="43" t="s">
        <v>57</v>
      </c>
      <c r="G11" s="44">
        <f>+SUMPRODUCT(B2:B9,G2:G9)/C11/E15</f>
        <v>228.61506275683527</v>
      </c>
      <c r="H11" s="35"/>
      <c r="J11" s="113" t="s">
        <v>235</v>
      </c>
      <c r="K11" s="104">
        <f>+B18*0.95</f>
        <v>26.599999999999998</v>
      </c>
      <c r="M11" s="104">
        <f>+K11</f>
        <v>26.599999999999998</v>
      </c>
      <c r="O11" s="104">
        <f>+M11</f>
        <v>26.599999999999998</v>
      </c>
      <c r="Q11" s="104">
        <f>+O11</f>
        <v>26.599999999999998</v>
      </c>
    </row>
    <row r="12" spans="1:20">
      <c r="F12" s="129" t="s">
        <v>206</v>
      </c>
      <c r="G12" s="130">
        <v>130</v>
      </c>
      <c r="I12" s="3">
        <f>+B18*0.9*I10</f>
        <v>17.085599999999999</v>
      </c>
      <c r="J12" s="113" t="s">
        <v>202</v>
      </c>
      <c r="L12" s="1"/>
      <c r="M12" s="114">
        <f>+B17*0.95-L13</f>
        <v>25.804285714285715</v>
      </c>
      <c r="N12" s="1"/>
      <c r="O12" s="114">
        <f>+M12-N13</f>
        <v>21.71</v>
      </c>
      <c r="P12" s="1"/>
      <c r="Q12" s="114">
        <f>+O12-P13</f>
        <v>16.782857142857143</v>
      </c>
      <c r="R12" s="1"/>
    </row>
    <row r="13" spans="1:20">
      <c r="F13" s="131" t="s">
        <v>207</v>
      </c>
      <c r="G13" s="132">
        <f>+G11+G12</f>
        <v>358.6150627568353</v>
      </c>
      <c r="J13" s="111" t="s">
        <v>201</v>
      </c>
      <c r="K13" s="111"/>
      <c r="L13" s="112">
        <f>(L10+B16)/7</f>
        <v>2.6957142857142857</v>
      </c>
      <c r="M13" s="1"/>
      <c r="N13" s="112">
        <f>+N10/7+L13</f>
        <v>4.0942857142857143</v>
      </c>
      <c r="P13" s="112">
        <f>+P10/7+N13</f>
        <v>4.927142857142857</v>
      </c>
      <c r="R13" s="112" t="s">
        <v>213</v>
      </c>
      <c r="S13" s="126">
        <f>SUM(S2:S6,S9)</f>
        <v>26547.319089174656</v>
      </c>
    </row>
    <row r="15" spans="1:20">
      <c r="C15" s="36">
        <f>+C11*E15</f>
        <v>29.560046999999997</v>
      </c>
      <c r="D15" t="s">
        <v>208</v>
      </c>
      <c r="E15" s="128">
        <v>0.98499999999999999</v>
      </c>
      <c r="T15" s="125">
        <f>+T1*11+15000</f>
        <v>334000</v>
      </c>
    </row>
    <row r="16" spans="1:20">
      <c r="A16" s="122" t="s">
        <v>199</v>
      </c>
      <c r="B16" s="36">
        <v>5</v>
      </c>
      <c r="C16" s="36" t="s">
        <v>200</v>
      </c>
      <c r="D16" t="s">
        <v>205</v>
      </c>
      <c r="E16" s="128">
        <f>SUMPRODUCT(B2:B9,E2:E9)/B10</f>
        <v>0.90939999999999988</v>
      </c>
    </row>
    <row r="17" spans="1:5">
      <c r="A17" s="122" t="s">
        <v>185</v>
      </c>
      <c r="B17" s="36">
        <v>30</v>
      </c>
      <c r="C17" s="36" t="s">
        <v>187</v>
      </c>
      <c r="D17" t="s">
        <v>225</v>
      </c>
      <c r="E17" s="128">
        <f>+E15*E16</f>
        <v>0.89575899999999986</v>
      </c>
    </row>
    <row r="18" spans="1:5">
      <c r="A18" s="122" t="s">
        <v>186</v>
      </c>
      <c r="B18" s="36">
        <v>28</v>
      </c>
      <c r="C18" s="36" t="s">
        <v>187</v>
      </c>
    </row>
    <row r="19" spans="1:5">
      <c r="A19" s="36" t="s">
        <v>4</v>
      </c>
      <c r="B19" s="107">
        <v>0.87</v>
      </c>
      <c r="C19" s="36" t="s">
        <v>194</v>
      </c>
      <c r="D19" s="36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PPC</vt:lpstr>
      <vt:lpstr>Inventario</vt:lpstr>
      <vt:lpstr>Constrains</vt:lpstr>
      <vt:lpstr>Horno Eléctrico</vt:lpstr>
      <vt:lpstr>Horno Cuchara</vt:lpstr>
      <vt:lpstr>Colada Continua</vt:lpstr>
      <vt:lpstr>Hoja3</vt:lpstr>
      <vt:lpstr>Hoja1</vt:lpstr>
      <vt:lpstr>Mix tentativo</vt:lpstr>
      <vt:lpstr>Hoja2</vt:lpstr>
    </vt:vector>
  </TitlesOfParts>
  <Company>Gerdau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Rodrigo Zambrano</cp:lastModifiedBy>
  <cp:lastPrinted>2016-10-04T14:23:11Z</cp:lastPrinted>
  <dcterms:created xsi:type="dcterms:W3CDTF">2011-06-16T15:17:26Z</dcterms:created>
  <dcterms:modified xsi:type="dcterms:W3CDTF">2021-01-27T03:45:19Z</dcterms:modified>
</cp:coreProperties>
</file>