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dad\Materias de grado - UNS\Contabilidad III\Cursado 2023\clases presentacion de EC\"/>
    </mc:Choice>
  </mc:AlternateContent>
  <bookViews>
    <workbookView xWindow="0" yWindow="0" windowWidth="20490" windowHeight="7155"/>
  </bookViews>
  <sheets>
    <sheet name="ENUNCIADO" sheetId="1" r:id="rId1"/>
    <sheet name="REGISTRACIONES CONTABLES" sheetId="2" r:id="rId2"/>
    <sheet name="ER" sheetId="3" r:id="rId3"/>
    <sheet name="Anex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8" i="4" l="1"/>
  <c r="C11" i="3"/>
  <c r="G38" i="2"/>
  <c r="C17" i="4"/>
  <c r="J61" i="2"/>
  <c r="J51" i="2"/>
  <c r="J52" i="2"/>
  <c r="F40" i="2"/>
  <c r="F39" i="2"/>
  <c r="E38" i="2"/>
  <c r="J38" i="2"/>
  <c r="J37" i="2"/>
  <c r="J53" i="2" l="1"/>
  <c r="E51" i="2" s="1"/>
  <c r="J57" i="2"/>
  <c r="J56" i="2"/>
  <c r="F35" i="2"/>
  <c r="J22" i="2"/>
  <c r="J21" i="2"/>
  <c r="G10" i="1" l="1"/>
  <c r="G9" i="1"/>
  <c r="G8" i="1"/>
  <c r="C9" i="4" l="1"/>
  <c r="C4" i="4"/>
  <c r="J59" i="2"/>
  <c r="J46" i="2"/>
  <c r="J48" i="2" s="1"/>
  <c r="F44" i="2"/>
  <c r="J40" i="2"/>
  <c r="E33" i="2"/>
  <c r="C26" i="4" s="1"/>
  <c r="E26" i="4" s="1"/>
  <c r="E9" i="2"/>
  <c r="C27" i="4" s="1"/>
  <c r="D27" i="4" s="1"/>
  <c r="E5" i="2"/>
  <c r="F17" i="2" s="1"/>
  <c r="J15" i="2" s="1"/>
  <c r="E4" i="2"/>
  <c r="F16" i="2" s="1"/>
  <c r="J14" i="2" s="1"/>
  <c r="E3" i="2"/>
  <c r="F15" i="2" s="1"/>
  <c r="J13" i="2" s="1"/>
  <c r="E2" i="2"/>
  <c r="F14" i="2" s="1"/>
  <c r="F52" i="2" l="1"/>
  <c r="C35" i="4"/>
  <c r="F48" i="2"/>
  <c r="E47" i="2" s="1"/>
  <c r="C6" i="3"/>
  <c r="J58" i="2"/>
  <c r="J60" i="2" s="1"/>
  <c r="C28" i="4"/>
  <c r="D28" i="4" s="1"/>
  <c r="C24" i="4"/>
  <c r="C25" i="4"/>
  <c r="D25" i="4" s="1"/>
  <c r="E34" i="2"/>
  <c r="J29" i="2"/>
  <c r="C5" i="4" s="1"/>
  <c r="J23" i="2"/>
  <c r="J24" i="2"/>
  <c r="J30" i="2"/>
  <c r="J39" i="2"/>
  <c r="J41" i="2" s="1"/>
  <c r="F6" i="2"/>
  <c r="C19" i="4" l="1"/>
  <c r="E32" i="2"/>
  <c r="C29" i="4"/>
  <c r="E29" i="4" s="1"/>
  <c r="E30" i="4" s="1"/>
  <c r="C13" i="3" s="1"/>
  <c r="J62" i="2"/>
  <c r="E55" i="2" s="1"/>
  <c r="F56" i="2" s="1"/>
  <c r="J25" i="2"/>
  <c r="J42" i="2" s="1"/>
  <c r="D24" i="4"/>
  <c r="D30" i="4" s="1"/>
  <c r="C6" i="4" s="1"/>
  <c r="E13" i="2"/>
  <c r="J12" i="2"/>
  <c r="J16" i="2" s="1"/>
  <c r="J18" i="2" s="1"/>
  <c r="C16" i="4" l="1"/>
  <c r="C30" i="4"/>
  <c r="J43" i="2"/>
  <c r="E24" i="2"/>
  <c r="F25" i="2" s="1"/>
  <c r="F21" i="2"/>
  <c r="E20" i="2" s="1"/>
  <c r="C36" i="4"/>
  <c r="C39" i="4" s="1"/>
  <c r="C15" i="3" s="1"/>
  <c r="C2" i="3" l="1"/>
  <c r="C18" i="4"/>
  <c r="C20" i="4" s="1"/>
  <c r="J31" i="2"/>
  <c r="C7" i="3" l="1"/>
  <c r="C8" i="3" s="1"/>
  <c r="J33" i="2"/>
  <c r="E28" i="2" s="1"/>
  <c r="F29" i="2" s="1"/>
  <c r="G29" i="2" s="1"/>
  <c r="C7" i="4"/>
  <c r="C8" i="4" s="1"/>
  <c r="C10" i="4" s="1"/>
  <c r="C3" i="3" s="1"/>
  <c r="C4" i="3" s="1"/>
  <c r="C16" i="3" l="1"/>
</calcChain>
</file>

<file path=xl/comments1.xml><?xml version="1.0" encoding="utf-8"?>
<comments xmlns="http://schemas.openxmlformats.org/spreadsheetml/2006/main">
  <authors>
    <author>poramora sepo</author>
    <author>Nuria Gutierrez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se deberia haber ido contabilizando a medida que se realizaban las diversas compras y contrataciones</t>
        </r>
      </text>
    </comment>
    <comment ref="F14" authorId="0" shapeId="0">
      <text>
        <r>
          <rPr>
            <sz val="9"/>
            <color indexed="81"/>
            <rFont val="Tahoma"/>
            <family val="2"/>
          </rPr>
          <t xml:space="preserve">se suman las semillas que trae del inicio (dato de enunciado) y las que compro </t>
        </r>
      </text>
    </comment>
    <comment ref="J17" authorId="0" shapeId="0">
      <text>
        <r>
          <rPr>
            <sz val="9"/>
            <color indexed="81"/>
            <rFont val="Tahoma"/>
            <family val="2"/>
          </rPr>
          <t>es dato del enunciado</t>
        </r>
      </text>
    </comment>
    <comment ref="J28" authorId="0" shapeId="0">
      <text>
        <r>
          <rPr>
            <sz val="9"/>
            <color indexed="81"/>
            <rFont val="Tahoma"/>
            <family val="2"/>
          </rPr>
          <t>es dato del enunciado</t>
        </r>
      </text>
    </comment>
    <comment ref="J47" authorId="1" shapeId="0">
      <text>
        <r>
          <rPr>
            <sz val="9"/>
            <color indexed="81"/>
            <rFont val="Tahoma"/>
            <family val="2"/>
          </rPr>
          <t>dato del enunciado</t>
        </r>
      </text>
    </comment>
    <comment ref="J52" authorId="1" shapeId="0">
      <text>
        <r>
          <rPr>
            <sz val="9"/>
            <color indexed="81"/>
            <rFont val="Tahoma"/>
            <family val="2"/>
          </rPr>
          <t>dato del enunciado</t>
        </r>
      </text>
    </comment>
  </commentList>
</comments>
</file>

<file path=xl/sharedStrings.xml><?xml version="1.0" encoding="utf-8"?>
<sst xmlns="http://schemas.openxmlformats.org/spreadsheetml/2006/main" count="189" uniqueCount="138">
  <si>
    <t>Semillas</t>
  </si>
  <si>
    <t>+A</t>
  </si>
  <si>
    <t>Semillas y fertilizantes</t>
  </si>
  <si>
    <t>+RN</t>
  </si>
  <si>
    <t>Sueldos y jornales</t>
  </si>
  <si>
    <t>Labranza y trilla</t>
  </si>
  <si>
    <t>Servicios de 3°s</t>
  </si>
  <si>
    <t>-A</t>
  </si>
  <si>
    <t xml:space="preserve">     a Banco</t>
  </si>
  <si>
    <t>Por los insumos y servicios comprados durante el ejercicio</t>
  </si>
  <si>
    <t>+P</t>
  </si>
  <si>
    <t xml:space="preserve">     a Proveedores en especie</t>
  </si>
  <si>
    <t>Por la compra de semillas a utilizar en la próxima cosecha</t>
  </si>
  <si>
    <t>Sementera</t>
  </si>
  <si>
    <t>+RPA</t>
  </si>
  <si>
    <t xml:space="preserve">     a Depreciación Acum. Maq.</t>
  </si>
  <si>
    <t>Por la imputación de la depreciación de las maquinarias</t>
  </si>
  <si>
    <t xml:space="preserve">     a Semillas y fertilizantes</t>
  </si>
  <si>
    <t>-RN</t>
  </si>
  <si>
    <t xml:space="preserve">     a Sueldos y jornales</t>
  </si>
  <si>
    <t xml:space="preserve">     a Labranza y trilla</t>
  </si>
  <si>
    <t xml:space="preserve">     a Servicios de 3°s</t>
  </si>
  <si>
    <t>Por la contabilización de la sementera</t>
  </si>
  <si>
    <t>+RP</t>
  </si>
  <si>
    <t xml:space="preserve">     a RxT sementera</t>
  </si>
  <si>
    <t>Resultado por tenencia - sementera</t>
  </si>
  <si>
    <t>Costo de producción</t>
  </si>
  <si>
    <t xml:space="preserve">     a Sementera</t>
  </si>
  <si>
    <t>Por el costo de producción de la cosecha</t>
  </si>
  <si>
    <t>Recaudaciones a depositar</t>
  </si>
  <si>
    <t>Impuestos sobre ventas</t>
  </si>
  <si>
    <t xml:space="preserve">     a Ventas</t>
  </si>
  <si>
    <t>Costo de venta</t>
  </si>
  <si>
    <t xml:space="preserve">     a RxT semillas y fertilizantes</t>
  </si>
  <si>
    <t>Resultado por tenencia - existencia al cierre de semillas</t>
  </si>
  <si>
    <t>RxT proveedores en especie</t>
  </si>
  <si>
    <t>Resultado por tenencia - valuación al cierre de proveedores</t>
  </si>
  <si>
    <t xml:space="preserve"> (*) suponer que todas las adquisiciones fueron canceladas de contado mediante transferencia bancaria</t>
  </si>
  <si>
    <t>Sueldos y cargas sociales</t>
  </si>
  <si>
    <t>Serv. prestados por 3°s</t>
  </si>
  <si>
    <t>Costo histórico</t>
  </si>
  <si>
    <t>Costo de reposición</t>
  </si>
  <si>
    <t>RxT sementera</t>
  </si>
  <si>
    <t>RxT proveedores</t>
  </si>
  <si>
    <t>Gastos de labranza y trilla</t>
  </si>
  <si>
    <t>Servicios prestados por terceros</t>
  </si>
  <si>
    <t>Gastos normales asociados a la venta:</t>
  </si>
  <si>
    <t xml:space="preserve"> - 2,5% de impuesto sobre los ingresos brutos</t>
  </si>
  <si>
    <t xml:space="preserve"> - 1,2% de comisiones de venta</t>
  </si>
  <si>
    <t xml:space="preserve"> - 1,3% de seguros</t>
  </si>
  <si>
    <t>Valor razonable</t>
  </si>
  <si>
    <t>Gastos estimados en el punto de venta</t>
  </si>
  <si>
    <t>Existencia inicial insumos</t>
  </si>
  <si>
    <t>(+) compras</t>
  </si>
  <si>
    <t>(+) gastos</t>
  </si>
  <si>
    <t>(+/-) resultado por tenencia</t>
  </si>
  <si>
    <t>(-) Existencia final insumos</t>
  </si>
  <si>
    <t>Comisiones y seguros</t>
  </si>
  <si>
    <t>Rdo. por medición a VR menos gastos</t>
  </si>
  <si>
    <t xml:space="preserve">     a Rdo. Por medición a VR menos gastos</t>
  </si>
  <si>
    <t>RxT semillas</t>
  </si>
  <si>
    <t>costo histórico</t>
  </si>
  <si>
    <t>costo de reposición</t>
  </si>
  <si>
    <t>Rdo. Por medición a VR menos gastos</t>
  </si>
  <si>
    <t>(-) Costo de producción (Anexo 1)</t>
  </si>
  <si>
    <t>Ventas</t>
  </si>
  <si>
    <t>(-) Costo de ventas (Anexo 2)</t>
  </si>
  <si>
    <t>Resultado de la medición de activos a su VR-GEPV</t>
  </si>
  <si>
    <t>Gastos de comercialización (Anexo 3)</t>
  </si>
  <si>
    <t>Resultados financieros y por tenencia (Nota)</t>
  </si>
  <si>
    <t>Ganancia neta</t>
  </si>
  <si>
    <t>CONCEPTOS</t>
  </si>
  <si>
    <t>TRIGO</t>
  </si>
  <si>
    <t>EXISTENCIA INICIALDE INSUMOS</t>
  </si>
  <si>
    <t>COMPRAS</t>
  </si>
  <si>
    <t>GASTOS (ANEXO 3)</t>
  </si>
  <si>
    <t>RESULTADO POR TENENCIA</t>
  </si>
  <si>
    <t>Subtotal</t>
  </si>
  <si>
    <t>EXISTENCIA FINAL</t>
  </si>
  <si>
    <t>ANEXO 1</t>
  </si>
  <si>
    <t>EXISTENCIA INICIAL</t>
  </si>
  <si>
    <t>$ -</t>
  </si>
  <si>
    <t>PRODUCCIÓN</t>
  </si>
  <si>
    <t>RDO. VALUACIÓN A VR-GEPV</t>
  </si>
  <si>
    <t>COSTO DE VENTA DE TRIGO</t>
  </si>
  <si>
    <t>ANEXO 2</t>
  </si>
  <si>
    <t>TOTAL</t>
  </si>
  <si>
    <t>GS. PRODUCCION</t>
  </si>
  <si>
    <t>GS. COMERCIALIZACIÓN</t>
  </si>
  <si>
    <t>SUELDOS Y JORNALES</t>
  </si>
  <si>
    <t>TRABAJOS SIEMBRA Y LABOREO</t>
  </si>
  <si>
    <t>IMPUESTOS SOBRE VENTAS</t>
  </si>
  <si>
    <t>AMORT. MAQUINARIAS</t>
  </si>
  <si>
    <t>LABRANZA Y TRILLA</t>
  </si>
  <si>
    <t>COMISIONES Y SEGUROS</t>
  </si>
  <si>
    <t>TOTALES</t>
  </si>
  <si>
    <t>ANEXO 3</t>
  </si>
  <si>
    <t>RESULTADOS FINANCIEROS Y POR TENENCIA</t>
  </si>
  <si>
    <t>Generados por activos</t>
  </si>
  <si>
    <t>- Ganancia por tenencia – Semillas</t>
  </si>
  <si>
    <t>- Ganancia por tenencia – Sementera</t>
  </si>
  <si>
    <t>Generados por pasivos</t>
  </si>
  <si>
    <t>- Pérdida por tenencia – Proveedores en especia</t>
  </si>
  <si>
    <t>1- A la fecha de inicio posee una existencia de semillas y fertilizantes cuya medición al costo de reposicion es de $ 2.120.000.</t>
  </si>
  <si>
    <t>3- Las amortizaciones de maquinarias e implementos agrícolas afectados a la producción asciende a $ 501.200</t>
  </si>
  <si>
    <t>Valor de cotización de la soja: $ 95.000 $/ton.</t>
  </si>
  <si>
    <t>Valor de cotización de la soja en la BCBB a la fecha: $ 93.000 $/ton.</t>
  </si>
  <si>
    <t>Valor del flete desde el establecimiento hasta el puerto de Bahía Blanca: $ 18.000 $/ton.</t>
  </si>
  <si>
    <t>Valor del flete: $ 25.100 $/ton.</t>
  </si>
  <si>
    <t>Estancia “El Litoral S.A.” es un establecimiento dedicado a la agricultura. Durante el ejercicio iniciado el 1° de junio y finalizado el 31 de julio último debe considerarse la siguiente información:</t>
  </si>
  <si>
    <r>
      <t xml:space="preserve">6- </t>
    </r>
    <r>
      <rPr>
        <b/>
        <sz val="11"/>
        <color theme="1"/>
        <rFont val="Calibri"/>
        <family val="2"/>
        <scheme val="minor"/>
      </rPr>
      <t>15 de junio</t>
    </r>
    <r>
      <rPr>
        <sz val="11"/>
        <color theme="1"/>
        <rFont val="Calibri"/>
        <family val="2"/>
        <scheme val="minor"/>
      </rPr>
      <t>: compra de semillas y fertilizantes destinados a la próxima cosecha por $ 4.520.000. el pago se concretara en oportunidad de la próxima cosecha de soja, mediante la entrega de 50 toneladas del producto.</t>
    </r>
  </si>
  <si>
    <r>
      <t xml:space="preserve">7- </t>
    </r>
    <r>
      <rPr>
        <b/>
        <sz val="11"/>
        <color theme="1"/>
        <rFont val="Calibri"/>
        <family val="2"/>
        <scheme val="minor"/>
      </rPr>
      <t>31 de julio</t>
    </r>
    <r>
      <rPr>
        <sz val="11"/>
        <color theme="1"/>
        <rFont val="Calibri"/>
        <family val="2"/>
        <scheme val="minor"/>
      </rPr>
      <t xml:space="preserve">: Datos a fecha de cierre de ejercicio: </t>
    </r>
  </si>
  <si>
    <t>Costo de reposición de las semillas y fertilizantes: $ 4.810.000</t>
  </si>
  <si>
    <t>2- Se cultivaron 40 hectáreas de soja, consumiéndose la totalidad de semillas y fertilizantes en existencia. Además se insumió:</t>
  </si>
  <si>
    <t>Costo de reposición de insumos y servicios, a la fecha de cosecha, asciende a $ 10.107.000</t>
  </si>
  <si>
    <t>40 hec * 4.100 kg * $ 93</t>
  </si>
  <si>
    <t>Soja</t>
  </si>
  <si>
    <t xml:space="preserve">     a Producción de soja</t>
  </si>
  <si>
    <t>Valor anterior de la soja</t>
  </si>
  <si>
    <t xml:space="preserve">     a Soja</t>
  </si>
  <si>
    <t>Flete ($ 18.000 * 164 ton.)</t>
  </si>
  <si>
    <r>
      <t xml:space="preserve">4- </t>
    </r>
    <r>
      <rPr>
        <b/>
        <sz val="11"/>
        <color theme="1"/>
        <rFont val="Calibri"/>
        <family val="2"/>
        <scheme val="minor"/>
      </rPr>
      <t>1° de marzo</t>
    </r>
    <r>
      <rPr>
        <sz val="11"/>
        <color theme="1"/>
        <rFont val="Calibri"/>
        <family val="2"/>
        <scheme val="minor"/>
      </rPr>
      <t>: se cosechan las 40 hectáreas de soja con un rinde de 4.100 kgs./ha (164 toneladas). Datos  la fecha:</t>
    </r>
  </si>
  <si>
    <t>Por la cosecha de soja (164 toneladas)</t>
  </si>
  <si>
    <r>
      <t xml:space="preserve">5- </t>
    </r>
    <r>
      <rPr>
        <b/>
        <sz val="11"/>
        <color theme="1"/>
        <rFont val="Calibri"/>
        <family val="2"/>
        <scheme val="minor"/>
      </rPr>
      <t>12 de mayo</t>
    </r>
    <r>
      <rPr>
        <sz val="11"/>
        <color theme="1"/>
        <rFont val="Calibri"/>
        <family val="2"/>
        <scheme val="minor"/>
      </rPr>
      <t xml:space="preserve">: venta de 115 toneladas de soja al valor de pizarra de la fecha en la BCBB ($ 107.000 $/ton.). Valor del flete a la fecha $ 19.100. El cliente se hace cargo del mismo. </t>
    </r>
  </si>
  <si>
    <t>Por la venta de la soja (115 toneladas)</t>
  </si>
  <si>
    <t>Por el costo de venta de la soja (115 toneladas)</t>
  </si>
  <si>
    <t>Resultado por medición al cierre a VR menos gastos</t>
  </si>
  <si>
    <t>49 ton. * $ 95.000</t>
  </si>
  <si>
    <t>Flete ($ 25.100 * 49 ton.)</t>
  </si>
  <si>
    <t>Producción de soja</t>
  </si>
  <si>
    <t>Ganancia por producción de soja</t>
  </si>
  <si>
    <t>Ganancia bruta sobre venta de soja</t>
  </si>
  <si>
    <t>- Ganancia por tenencia de soja</t>
  </si>
  <si>
    <t>COSTO DE PRODUCCION DE SOJA</t>
  </si>
  <si>
    <t>Soja cosechada</t>
  </si>
  <si>
    <t>Rdo. por medición a VR menos gastos de la soja vendida</t>
  </si>
  <si>
    <t>115 ton. * $ 107.000</t>
  </si>
  <si>
    <t>Flete ($ 19.100 * 115 ton.)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</si>
</sst>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;[Red]\-&quot;$&quot;#,##0"/>
    <numFmt numFmtId="165" formatCode="&quot;$&quot;#,##0.00;[Red]\-&quot;$&quot;#,##0.00"/>
    <numFmt numFmtId="166" formatCode="_-&quot;$&quot;* #,##0.00_-;\-&quot;$&quot;* #,##0.0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i/>
      <sz val="9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rgb="FF000000"/>
      <name val="Trebuchet MS"/>
      <family val="2"/>
    </font>
    <font>
      <sz val="10"/>
      <name val="Arial"/>
      <family val="2"/>
    </font>
    <font>
      <b/>
      <shadow/>
      <sz val="10"/>
      <color rgb="FFFFFFFF"/>
      <name val="Trebuchet MS"/>
      <family val="2"/>
    </font>
    <font>
      <b/>
      <shadow/>
      <sz val="10"/>
      <color rgb="FF000000"/>
      <name val="Trebuchet MS"/>
      <family val="2"/>
    </font>
    <font>
      <b/>
      <u/>
      <sz val="11"/>
      <color theme="1"/>
      <name val="Calibri"/>
      <family val="2"/>
      <scheme val="minor"/>
    </font>
    <font>
      <u/>
      <sz val="10"/>
      <color rgb="FF000000"/>
      <name val="Trebuchet MS"/>
      <family val="2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1E5DC"/>
        <bgColor indexed="64"/>
      </patternFill>
    </fill>
    <fill>
      <patternFill patternType="solid">
        <fgColor rgb="FFF0F3EE"/>
        <bgColor indexed="64"/>
      </patternFill>
    </fill>
    <fill>
      <patternFill patternType="solid">
        <fgColor rgb="FFA5B592"/>
        <bgColor indexed="64"/>
      </patternFill>
    </fill>
    <fill>
      <patternFill patternType="solid">
        <fgColor rgb="FFD8DFE9"/>
        <bgColor indexed="64"/>
      </patternFill>
    </fill>
    <fill>
      <patternFill patternType="solid">
        <fgColor rgb="FFEDF0F4"/>
        <bgColor indexed="64"/>
      </patternFill>
    </fill>
    <fill>
      <patternFill patternType="solid">
        <fgColor rgb="FF809EC2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84">
    <xf numFmtId="0" fontId="0" fillId="0" borderId="0" xfId="0"/>
    <xf numFmtId="0" fontId="2" fillId="0" borderId="0" xfId="0" applyFont="1"/>
    <xf numFmtId="4" fontId="0" fillId="0" borderId="0" xfId="0" applyNumberFormat="1"/>
    <xf numFmtId="166" fontId="0" fillId="0" borderId="0" xfId="1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5" fillId="0" borderId="1" xfId="0" applyFont="1" applyBorder="1" applyAlignment="1">
      <alignment vertical="center"/>
    </xf>
    <xf numFmtId="4" fontId="5" fillId="0" borderId="1" xfId="0" applyNumberFormat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4" fontId="5" fillId="0" borderId="0" xfId="0" applyNumberFormat="1" applyFont="1" applyAlignment="1">
      <alignment vertical="center"/>
    </xf>
    <xf numFmtId="4" fontId="5" fillId="0" borderId="2" xfId="0" applyNumberFormat="1" applyFont="1" applyBorder="1" applyAlignment="1">
      <alignment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4" fontId="6" fillId="0" borderId="0" xfId="0" applyNumberFormat="1" applyFont="1" applyAlignment="1">
      <alignment horizontal="right" vertical="center"/>
    </xf>
    <xf numFmtId="4" fontId="6" fillId="0" borderId="2" xfId="0" applyNumberFormat="1" applyFont="1" applyBorder="1" applyAlignment="1">
      <alignment horizontal="right" vertical="center"/>
    </xf>
    <xf numFmtId="4" fontId="5" fillId="2" borderId="1" xfId="0" applyNumberFormat="1" applyFont="1" applyFill="1" applyBorder="1" applyAlignment="1">
      <alignment vertical="center"/>
    </xf>
    <xf numFmtId="4" fontId="5" fillId="3" borderId="1" xfId="0" applyNumberFormat="1" applyFont="1" applyFill="1" applyBorder="1" applyAlignment="1">
      <alignment vertical="center"/>
    </xf>
    <xf numFmtId="4" fontId="5" fillId="3" borderId="0" xfId="0" applyNumberFormat="1" applyFont="1" applyFill="1" applyAlignment="1">
      <alignment vertical="center"/>
    </xf>
    <xf numFmtId="4" fontId="5" fillId="0" borderId="0" xfId="0" applyNumberFormat="1" applyFont="1" applyAlignment="1">
      <alignment horizontal="right" vertical="center"/>
    </xf>
    <xf numFmtId="4" fontId="5" fillId="4" borderId="1" xfId="0" applyNumberFormat="1" applyFont="1" applyFill="1" applyBorder="1" applyAlignment="1">
      <alignment vertical="center"/>
    </xf>
    <xf numFmtId="4" fontId="5" fillId="4" borderId="0" xfId="0" applyNumberFormat="1" applyFont="1" applyFill="1" applyAlignment="1">
      <alignment horizontal="right" vertical="center"/>
    </xf>
    <xf numFmtId="4" fontId="5" fillId="5" borderId="1" xfId="0" applyNumberFormat="1" applyFont="1" applyFill="1" applyBorder="1" applyAlignment="1">
      <alignment vertical="center"/>
    </xf>
    <xf numFmtId="4" fontId="5" fillId="5" borderId="0" xfId="0" applyNumberFormat="1" applyFont="1" applyFill="1" applyAlignment="1">
      <alignment horizontal="right" vertical="center"/>
    </xf>
    <xf numFmtId="4" fontId="5" fillId="6" borderId="1" xfId="0" applyNumberFormat="1" applyFont="1" applyFill="1" applyBorder="1" applyAlignment="1">
      <alignment vertical="center"/>
    </xf>
    <xf numFmtId="4" fontId="5" fillId="6" borderId="0" xfId="0" applyNumberFormat="1" applyFont="1" applyFill="1" applyAlignment="1">
      <alignment horizontal="right" vertical="center"/>
    </xf>
    <xf numFmtId="4" fontId="5" fillId="7" borderId="1" xfId="0" applyNumberFormat="1" applyFont="1" applyFill="1" applyBorder="1" applyAlignment="1">
      <alignment vertical="center"/>
    </xf>
    <xf numFmtId="4" fontId="5" fillId="7" borderId="0" xfId="0" applyNumberFormat="1" applyFont="1" applyFill="1" applyAlignment="1">
      <alignment horizontal="right" vertical="center"/>
    </xf>
    <xf numFmtId="4" fontId="9" fillId="0" borderId="0" xfId="0" applyNumberFormat="1" applyFont="1" applyAlignment="1">
      <alignment horizontal="left"/>
    </xf>
    <xf numFmtId="4" fontId="5" fillId="0" borderId="0" xfId="0" applyNumberFormat="1" applyFont="1" applyFill="1" applyAlignment="1">
      <alignment horizontal="right" vertical="center"/>
    </xf>
    <xf numFmtId="4" fontId="5" fillId="0" borderId="1" xfId="0" applyNumberFormat="1" applyFont="1" applyFill="1" applyBorder="1" applyAlignment="1">
      <alignment vertical="center"/>
    </xf>
    <xf numFmtId="0" fontId="10" fillId="0" borderId="0" xfId="0" applyFont="1"/>
    <xf numFmtId="4" fontId="5" fillId="0" borderId="2" xfId="0" applyNumberFormat="1" applyFont="1" applyBorder="1" applyAlignment="1">
      <alignment horizontal="right" vertical="center"/>
    </xf>
    <xf numFmtId="4" fontId="5" fillId="8" borderId="1" xfId="0" applyNumberFormat="1" applyFont="1" applyFill="1" applyBorder="1" applyAlignment="1">
      <alignment vertical="center"/>
    </xf>
    <xf numFmtId="4" fontId="5" fillId="8" borderId="0" xfId="0" applyNumberFormat="1" applyFont="1" applyFill="1" applyAlignment="1">
      <alignment horizontal="right" vertical="center"/>
    </xf>
    <xf numFmtId="4" fontId="5" fillId="9" borderId="1" xfId="0" applyNumberFormat="1" applyFont="1" applyFill="1" applyBorder="1" applyAlignment="1">
      <alignment vertical="center"/>
    </xf>
    <xf numFmtId="4" fontId="5" fillId="9" borderId="0" xfId="0" applyNumberFormat="1" applyFont="1" applyFill="1" applyAlignment="1">
      <alignment horizontal="right" vertical="center"/>
    </xf>
    <xf numFmtId="0" fontId="11" fillId="10" borderId="4" xfId="0" applyFont="1" applyFill="1" applyBorder="1" applyAlignment="1">
      <alignment horizontal="left" vertical="center" wrapText="1" indent="1" readingOrder="1"/>
    </xf>
    <xf numFmtId="164" fontId="11" fillId="10" borderId="4" xfId="0" applyNumberFormat="1" applyFont="1" applyFill="1" applyBorder="1" applyAlignment="1">
      <alignment horizontal="right" vertical="center" wrapText="1" indent="1" readingOrder="1"/>
    </xf>
    <xf numFmtId="0" fontId="11" fillId="11" borderId="4" xfId="0" applyFont="1" applyFill="1" applyBorder="1" applyAlignment="1">
      <alignment horizontal="left" vertical="center" wrapText="1" indent="1" readingOrder="1"/>
    </xf>
    <xf numFmtId="164" fontId="11" fillId="11" borderId="5" xfId="0" applyNumberFormat="1" applyFont="1" applyFill="1" applyBorder="1" applyAlignment="1">
      <alignment horizontal="right" vertical="center" wrapText="1" indent="1" readingOrder="1"/>
    </xf>
    <xf numFmtId="0" fontId="11" fillId="10" borderId="4" xfId="0" applyFont="1" applyFill="1" applyBorder="1" applyAlignment="1">
      <alignment horizontal="right" vertical="center" wrapText="1" indent="1" readingOrder="1"/>
    </xf>
    <xf numFmtId="164" fontId="11" fillId="10" borderId="6" xfId="0" applyNumberFormat="1" applyFont="1" applyFill="1" applyBorder="1" applyAlignment="1">
      <alignment horizontal="right" vertical="center" wrapText="1" indent="1" readingOrder="1"/>
    </xf>
    <xf numFmtId="0" fontId="12" fillId="11" borderId="4" xfId="0" applyFont="1" applyFill="1" applyBorder="1" applyAlignment="1">
      <alignment horizontal="left" vertical="center" wrapText="1" indent="1"/>
    </xf>
    <xf numFmtId="0" fontId="12" fillId="11" borderId="4" xfId="0" applyFont="1" applyFill="1" applyBorder="1" applyAlignment="1">
      <alignment horizontal="right" vertical="center" wrapText="1" indent="1"/>
    </xf>
    <xf numFmtId="0" fontId="12" fillId="11" borderId="4" xfId="0" applyFont="1" applyFill="1" applyBorder="1" applyAlignment="1">
      <alignment horizontal="right" vertical="top" wrapText="1" indent="1"/>
    </xf>
    <xf numFmtId="0" fontId="12" fillId="10" borderId="4" xfId="0" applyFont="1" applyFill="1" applyBorder="1" applyAlignment="1">
      <alignment horizontal="right" vertical="top" wrapText="1" indent="1"/>
    </xf>
    <xf numFmtId="164" fontId="11" fillId="11" borderId="4" xfId="0" applyNumberFormat="1" applyFont="1" applyFill="1" applyBorder="1" applyAlignment="1">
      <alignment horizontal="right" vertical="center" wrapText="1" indent="1" readingOrder="1"/>
    </xf>
    <xf numFmtId="0" fontId="12" fillId="10" borderId="4" xfId="0" applyFont="1" applyFill="1" applyBorder="1" applyAlignment="1">
      <alignment horizontal="left" vertical="center" wrapText="1" indent="1"/>
    </xf>
    <xf numFmtId="0" fontId="11" fillId="11" borderId="7" xfId="0" applyFont="1" applyFill="1" applyBorder="1" applyAlignment="1">
      <alignment horizontal="left" vertical="center" wrapText="1" indent="1" readingOrder="1"/>
    </xf>
    <xf numFmtId="164" fontId="11" fillId="11" borderId="8" xfId="0" applyNumberFormat="1" applyFont="1" applyFill="1" applyBorder="1" applyAlignment="1">
      <alignment horizontal="right" vertical="center" wrapText="1" indent="1" readingOrder="1"/>
    </xf>
    <xf numFmtId="0" fontId="13" fillId="12" borderId="9" xfId="0" applyFont="1" applyFill="1" applyBorder="1" applyAlignment="1">
      <alignment horizontal="left" vertical="center" wrapText="1" indent="1" readingOrder="1"/>
    </xf>
    <xf numFmtId="165" fontId="13" fillId="12" borderId="10" xfId="0" applyNumberFormat="1" applyFont="1" applyFill="1" applyBorder="1" applyAlignment="1">
      <alignment horizontal="right" vertical="center" wrapText="1" indent="1" readingOrder="1"/>
    </xf>
    <xf numFmtId="0" fontId="11" fillId="14" borderId="4" xfId="0" applyFont="1" applyFill="1" applyBorder="1" applyAlignment="1">
      <alignment horizontal="left" vertical="center" wrapText="1" indent="1" readingOrder="1"/>
    </xf>
    <xf numFmtId="165" fontId="11" fillId="14" borderId="4" xfId="0" applyNumberFormat="1" applyFont="1" applyFill="1" applyBorder="1" applyAlignment="1">
      <alignment horizontal="right" vertical="center" wrapText="1" indent="1" readingOrder="1"/>
    </xf>
    <xf numFmtId="0" fontId="11" fillId="13" borderId="4" xfId="0" applyFont="1" applyFill="1" applyBorder="1" applyAlignment="1">
      <alignment horizontal="left" vertical="center" wrapText="1" indent="1" readingOrder="1"/>
    </xf>
    <xf numFmtId="165" fontId="11" fillId="13" borderId="4" xfId="0" applyNumberFormat="1" applyFont="1" applyFill="1" applyBorder="1" applyAlignment="1">
      <alignment horizontal="right" vertical="center" wrapText="1" indent="1" readingOrder="1"/>
    </xf>
    <xf numFmtId="0" fontId="11" fillId="14" borderId="4" xfId="0" applyFont="1" applyFill="1" applyBorder="1" applyAlignment="1">
      <alignment horizontal="right" vertical="center" wrapText="1" indent="1" readingOrder="1"/>
    </xf>
    <xf numFmtId="0" fontId="11" fillId="13" borderId="7" xfId="0" applyFont="1" applyFill="1" applyBorder="1" applyAlignment="1">
      <alignment horizontal="left" vertical="center" wrapText="1" indent="1" readingOrder="1"/>
    </xf>
    <xf numFmtId="165" fontId="11" fillId="13" borderId="7" xfId="0" applyNumberFormat="1" applyFont="1" applyFill="1" applyBorder="1" applyAlignment="1">
      <alignment horizontal="right" vertical="center" wrapText="1" indent="1" readingOrder="1"/>
    </xf>
    <xf numFmtId="0" fontId="13" fillId="15" borderId="9" xfId="0" applyFont="1" applyFill="1" applyBorder="1" applyAlignment="1">
      <alignment horizontal="left" vertical="center" wrapText="1" indent="1" readingOrder="1"/>
    </xf>
    <xf numFmtId="165" fontId="13" fillId="15" borderId="9" xfId="0" applyNumberFormat="1" applyFont="1" applyFill="1" applyBorder="1" applyAlignment="1">
      <alignment horizontal="right" vertical="center" wrapText="1" indent="1" readingOrder="1"/>
    </xf>
    <xf numFmtId="0" fontId="14" fillId="13" borderId="4" xfId="0" applyFont="1" applyFill="1" applyBorder="1" applyAlignment="1">
      <alignment horizontal="center" vertical="center" wrapText="1" readingOrder="1"/>
    </xf>
    <xf numFmtId="0" fontId="11" fillId="13" borderId="4" xfId="0" applyFont="1" applyFill="1" applyBorder="1" applyAlignment="1">
      <alignment horizontal="right" vertical="center" wrapText="1" indent="1" readingOrder="1"/>
    </xf>
    <xf numFmtId="0" fontId="12" fillId="14" borderId="4" xfId="0" applyFont="1" applyFill="1" applyBorder="1" applyAlignment="1">
      <alignment horizontal="right" vertical="center" wrapText="1" indent="1"/>
    </xf>
    <xf numFmtId="0" fontId="12" fillId="13" borderId="4" xfId="0" applyFont="1" applyFill="1" applyBorder="1" applyAlignment="1">
      <alignment horizontal="right" vertical="center" wrapText="1" indent="1"/>
    </xf>
    <xf numFmtId="0" fontId="12" fillId="13" borderId="7" xfId="0" applyFont="1" applyFill="1" applyBorder="1" applyAlignment="1">
      <alignment horizontal="right" vertical="center" wrapText="1" indent="1"/>
    </xf>
    <xf numFmtId="0" fontId="16" fillId="14" borderId="4" xfId="0" applyFont="1" applyFill="1" applyBorder="1" applyAlignment="1">
      <alignment horizontal="left" vertical="center" wrapText="1" indent="1" readingOrder="1"/>
    </xf>
    <xf numFmtId="0" fontId="16" fillId="13" borderId="4" xfId="0" applyFont="1" applyFill="1" applyBorder="1" applyAlignment="1">
      <alignment horizontal="left" vertical="center" wrapText="1" indent="1" readingOrder="1"/>
    </xf>
    <xf numFmtId="0" fontId="11" fillId="14" borderId="7" xfId="0" applyFont="1" applyFill="1" applyBorder="1" applyAlignment="1">
      <alignment horizontal="left" vertical="center" wrapText="1" indent="1" readingOrder="1"/>
    </xf>
    <xf numFmtId="165" fontId="11" fillId="14" borderId="7" xfId="0" applyNumberFormat="1" applyFont="1" applyFill="1" applyBorder="1" applyAlignment="1">
      <alignment horizontal="right" vertical="center" wrapText="1" indent="1" readingOrder="1"/>
    </xf>
    <xf numFmtId="0" fontId="6" fillId="0" borderId="0" xfId="0" applyFont="1" applyAlignment="1">
      <alignment horizontal="center" vertical="center"/>
    </xf>
    <xf numFmtId="0" fontId="11" fillId="11" borderId="4" xfId="0" quotePrefix="1" applyFont="1" applyFill="1" applyBorder="1" applyAlignment="1">
      <alignment horizontal="left" vertical="center" wrapText="1" indent="1" readingOrder="1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15" fillId="0" borderId="11" xfId="0" applyFont="1" applyBorder="1" applyAlignment="1">
      <alignment horizontal="center"/>
    </xf>
    <xf numFmtId="0" fontId="14" fillId="13" borderId="12" xfId="0" applyFont="1" applyFill="1" applyBorder="1" applyAlignment="1">
      <alignment horizontal="center" vertical="center" wrapText="1" readingOrder="1"/>
    </xf>
    <xf numFmtId="0" fontId="14" fillId="13" borderId="13" xfId="0" applyFont="1" applyFill="1" applyBorder="1" applyAlignment="1">
      <alignment horizontal="center" vertical="center" wrapText="1" readingOrder="1"/>
    </xf>
    <xf numFmtId="4" fontId="5" fillId="2" borderId="14" xfId="0" applyNumberFormat="1" applyFont="1" applyFill="1" applyBorder="1" applyAlignment="1">
      <alignment vertical="center"/>
    </xf>
    <xf numFmtId="0" fontId="0" fillId="0" borderId="0" xfId="0" applyFill="1" applyBorder="1"/>
    <xf numFmtId="0" fontId="10" fillId="0" borderId="0" xfId="0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A11" sqref="A11"/>
    </sheetView>
  </sheetViews>
  <sheetFormatPr baseColWidth="10" defaultRowHeight="15" x14ac:dyDescent="0.25"/>
  <cols>
    <col min="7" max="7" width="14.140625" bestFit="1" customWidth="1"/>
    <col min="11" max="11" width="16.42578125" bestFit="1" customWidth="1"/>
  </cols>
  <sheetData>
    <row r="1" spans="1:14" x14ac:dyDescent="0.25">
      <c r="A1" s="7" t="s">
        <v>109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3" spans="1:14" x14ac:dyDescent="0.25">
      <c r="A3" s="7" t="s">
        <v>103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25">
      <c r="B4" s="6"/>
    </row>
    <row r="5" spans="1:14" x14ac:dyDescent="0.25">
      <c r="A5" s="7" t="s">
        <v>113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7" spans="1:14" x14ac:dyDescent="0.25">
      <c r="B7" s="1" t="s">
        <v>0</v>
      </c>
      <c r="G7" s="3">
        <v>3080000</v>
      </c>
    </row>
    <row r="8" spans="1:14" x14ac:dyDescent="0.25">
      <c r="B8" s="1" t="s">
        <v>38</v>
      </c>
      <c r="G8" s="3">
        <f>195800*10</f>
        <v>1958000</v>
      </c>
    </row>
    <row r="9" spans="1:14" x14ac:dyDescent="0.25">
      <c r="B9" s="1" t="s">
        <v>44</v>
      </c>
      <c r="G9" s="3">
        <f>491000*3</f>
        <v>1473000</v>
      </c>
    </row>
    <row r="10" spans="1:14" x14ac:dyDescent="0.25">
      <c r="B10" s="1" t="s">
        <v>45</v>
      </c>
      <c r="G10" s="3">
        <f>602000*2</f>
        <v>1204000</v>
      </c>
    </row>
    <row r="12" spans="1:14" x14ac:dyDescent="0.25">
      <c r="A12" s="5" t="s">
        <v>37</v>
      </c>
    </row>
    <row r="13" spans="1:14" x14ac:dyDescent="0.25">
      <c r="A13" s="5"/>
    </row>
    <row r="14" spans="1:14" x14ac:dyDescent="0.25">
      <c r="A14" s="7" t="s">
        <v>104</v>
      </c>
    </row>
    <row r="16" spans="1:14" x14ac:dyDescent="0.25">
      <c r="A16" s="74" t="s">
        <v>121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</row>
    <row r="17" spans="1:14" x14ac:dyDescent="0.25">
      <c r="K17" s="2"/>
    </row>
    <row r="18" spans="1:14" x14ac:dyDescent="0.25">
      <c r="B18" t="s">
        <v>106</v>
      </c>
      <c r="K18" s="2"/>
    </row>
    <row r="19" spans="1:14" x14ac:dyDescent="0.25">
      <c r="B19" t="s">
        <v>107</v>
      </c>
    </row>
    <row r="20" spans="1:14" x14ac:dyDescent="0.25">
      <c r="B20" t="s">
        <v>46</v>
      </c>
    </row>
    <row r="21" spans="1:14" x14ac:dyDescent="0.25">
      <c r="B21" t="s">
        <v>47</v>
      </c>
    </row>
    <row r="22" spans="1:14" x14ac:dyDescent="0.25">
      <c r="B22" t="s">
        <v>48</v>
      </c>
    </row>
    <row r="23" spans="1:14" x14ac:dyDescent="0.25">
      <c r="B23" t="s">
        <v>49</v>
      </c>
      <c r="G23" s="2"/>
    </row>
    <row r="24" spans="1:14" x14ac:dyDescent="0.25">
      <c r="B24" t="s">
        <v>114</v>
      </c>
      <c r="G24" s="2"/>
    </row>
    <row r="26" spans="1:14" x14ac:dyDescent="0.25">
      <c r="A26" s="74" t="s">
        <v>123</v>
      </c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</row>
    <row r="28" spans="1:14" ht="31.5" customHeight="1" x14ac:dyDescent="0.25">
      <c r="A28" s="74" t="s">
        <v>110</v>
      </c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</row>
    <row r="30" spans="1:14" x14ac:dyDescent="0.25">
      <c r="A30" t="s">
        <v>111</v>
      </c>
    </row>
    <row r="32" spans="1:14" x14ac:dyDescent="0.25">
      <c r="B32" t="s">
        <v>112</v>
      </c>
    </row>
    <row r="33" spans="2:2" x14ac:dyDescent="0.25">
      <c r="B33" t="s">
        <v>105</v>
      </c>
    </row>
    <row r="34" spans="2:2" x14ac:dyDescent="0.25">
      <c r="B34" t="s">
        <v>108</v>
      </c>
    </row>
  </sheetData>
  <mergeCells count="3">
    <mergeCell ref="A16:N16"/>
    <mergeCell ref="A26:N26"/>
    <mergeCell ref="A28:N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62"/>
  <sheetViews>
    <sheetView topLeftCell="A17" workbookViewId="0">
      <selection activeCell="A23" sqref="A21:A23"/>
    </sheetView>
  </sheetViews>
  <sheetFormatPr baseColWidth="10" defaultRowHeight="15" x14ac:dyDescent="0.25"/>
  <cols>
    <col min="1" max="1" width="13.42578125" bestFit="1" customWidth="1"/>
    <col min="3" max="3" width="4.7109375" bestFit="1" customWidth="1"/>
    <col min="4" max="4" width="34.28515625" bestFit="1" customWidth="1"/>
    <col min="8" max="9" width="19" customWidth="1"/>
    <col min="10" max="10" width="11.7109375" bestFit="1" customWidth="1"/>
    <col min="12" max="13" width="19" customWidth="1"/>
    <col min="14" max="14" width="11.7109375" bestFit="1" customWidth="1"/>
  </cols>
  <sheetData>
    <row r="2" spans="1:10" x14ac:dyDescent="0.25">
      <c r="C2" s="8" t="s">
        <v>1</v>
      </c>
      <c r="D2" s="8" t="s">
        <v>2</v>
      </c>
      <c r="E2" s="9">
        <f>+ENUNCIADO!G7</f>
        <v>3080000</v>
      </c>
      <c r="F2" s="8"/>
    </row>
    <row r="3" spans="1:10" x14ac:dyDescent="0.25">
      <c r="A3" s="2"/>
      <c r="C3" s="8" t="s">
        <v>3</v>
      </c>
      <c r="D3" s="8" t="s">
        <v>4</v>
      </c>
      <c r="E3" s="9">
        <f>+ENUNCIADO!G8</f>
        <v>1958000</v>
      </c>
      <c r="F3" s="8"/>
    </row>
    <row r="4" spans="1:10" x14ac:dyDescent="0.25">
      <c r="C4" s="8" t="s">
        <v>3</v>
      </c>
      <c r="D4" s="8" t="s">
        <v>5</v>
      </c>
      <c r="E4" s="9">
        <f>+ENUNCIADO!G9</f>
        <v>1473000</v>
      </c>
      <c r="F4" s="8"/>
    </row>
    <row r="5" spans="1:10" x14ac:dyDescent="0.25">
      <c r="C5" s="8" t="s">
        <v>3</v>
      </c>
      <c r="D5" s="8" t="s">
        <v>6</v>
      </c>
      <c r="E5" s="9">
        <f>+ENUNCIADO!G10</f>
        <v>1204000</v>
      </c>
      <c r="F5" s="8"/>
    </row>
    <row r="6" spans="1:10" x14ac:dyDescent="0.25">
      <c r="C6" s="8" t="s">
        <v>7</v>
      </c>
      <c r="D6" s="8" t="s">
        <v>8</v>
      </c>
      <c r="E6" s="8"/>
      <c r="F6" s="9">
        <f>+SUM(E2:E5)</f>
        <v>7715000</v>
      </c>
    </row>
    <row r="7" spans="1:10" x14ac:dyDescent="0.25">
      <c r="C7" s="75" t="s">
        <v>9</v>
      </c>
      <c r="D7" s="75"/>
      <c r="E7" s="75"/>
      <c r="F7" s="75"/>
    </row>
    <row r="8" spans="1:10" x14ac:dyDescent="0.25">
      <c r="C8" s="4"/>
      <c r="D8" s="4"/>
      <c r="E8" s="4"/>
      <c r="F8" s="4"/>
    </row>
    <row r="9" spans="1:10" x14ac:dyDescent="0.25">
      <c r="C9" s="8" t="s">
        <v>1</v>
      </c>
      <c r="D9" s="8" t="s">
        <v>13</v>
      </c>
      <c r="E9" s="9">
        <f>+F10</f>
        <v>501200</v>
      </c>
      <c r="F9" s="8"/>
    </row>
    <row r="10" spans="1:10" x14ac:dyDescent="0.25">
      <c r="C10" s="8" t="s">
        <v>14</v>
      </c>
      <c r="D10" s="8" t="s">
        <v>15</v>
      </c>
      <c r="E10" s="8"/>
      <c r="F10" s="9">
        <v>501200</v>
      </c>
    </row>
    <row r="11" spans="1:10" ht="15.75" thickBot="1" x14ac:dyDescent="0.3">
      <c r="C11" s="75" t="s">
        <v>16</v>
      </c>
      <c r="D11" s="75"/>
      <c r="E11" s="75"/>
      <c r="F11" s="75"/>
      <c r="H11" s="76" t="s">
        <v>42</v>
      </c>
      <c r="I11" s="76"/>
      <c r="J11" s="76"/>
    </row>
    <row r="12" spans="1:10" x14ac:dyDescent="0.25">
      <c r="C12" s="4"/>
      <c r="D12" s="4"/>
      <c r="E12" s="4"/>
      <c r="F12" s="4"/>
      <c r="I12" s="13" t="s">
        <v>2</v>
      </c>
      <c r="J12" s="15">
        <f>+F14</f>
        <v>5200000</v>
      </c>
    </row>
    <row r="13" spans="1:10" x14ac:dyDescent="0.25">
      <c r="C13" s="8" t="s">
        <v>1</v>
      </c>
      <c r="D13" s="8" t="s">
        <v>13</v>
      </c>
      <c r="E13" s="9">
        <f>+SUM(F14:F17)</f>
        <v>9835000</v>
      </c>
      <c r="F13" s="8"/>
      <c r="I13" s="13" t="s">
        <v>38</v>
      </c>
      <c r="J13" s="15">
        <f>+F15</f>
        <v>1958000</v>
      </c>
    </row>
    <row r="14" spans="1:10" x14ac:dyDescent="0.25">
      <c r="C14" s="8" t="s">
        <v>7</v>
      </c>
      <c r="D14" s="8" t="s">
        <v>17</v>
      </c>
      <c r="E14" s="8"/>
      <c r="F14" s="9">
        <f>+E2+2120000</f>
        <v>5200000</v>
      </c>
      <c r="I14" s="13" t="s">
        <v>5</v>
      </c>
      <c r="J14" s="15">
        <f>+F16</f>
        <v>1473000</v>
      </c>
    </row>
    <row r="15" spans="1:10" ht="15.75" thickBot="1" x14ac:dyDescent="0.3">
      <c r="C15" s="8" t="s">
        <v>18</v>
      </c>
      <c r="D15" s="8" t="s">
        <v>19</v>
      </c>
      <c r="E15" s="8"/>
      <c r="F15" s="9">
        <f>+E3</f>
        <v>1958000</v>
      </c>
      <c r="I15" s="13" t="s">
        <v>39</v>
      </c>
      <c r="J15" s="16">
        <f>+F17</f>
        <v>1204000</v>
      </c>
    </row>
    <row r="16" spans="1:10" x14ac:dyDescent="0.25">
      <c r="C16" s="8" t="s">
        <v>18</v>
      </c>
      <c r="D16" s="8" t="s">
        <v>20</v>
      </c>
      <c r="E16" s="8"/>
      <c r="F16" s="9">
        <f>+E4</f>
        <v>1473000</v>
      </c>
      <c r="I16" s="14" t="s">
        <v>40</v>
      </c>
      <c r="J16" s="11">
        <f>+SUM(J12:J15)</f>
        <v>9835000</v>
      </c>
    </row>
    <row r="17" spans="1:10" ht="15.75" thickBot="1" x14ac:dyDescent="0.3">
      <c r="C17" s="8" t="s">
        <v>18</v>
      </c>
      <c r="D17" s="8" t="s">
        <v>21</v>
      </c>
      <c r="E17" s="8"/>
      <c r="F17" s="9">
        <f>+E5</f>
        <v>1204000</v>
      </c>
      <c r="I17" s="14" t="s">
        <v>41</v>
      </c>
      <c r="J17" s="12">
        <v>10107000</v>
      </c>
    </row>
    <row r="18" spans="1:10" x14ac:dyDescent="0.25">
      <c r="C18" s="75" t="s">
        <v>22</v>
      </c>
      <c r="D18" s="75"/>
      <c r="E18" s="75"/>
      <c r="F18" s="75"/>
      <c r="I18" s="4"/>
      <c r="J18" s="19">
        <f>+J17-J16</f>
        <v>272000</v>
      </c>
    </row>
    <row r="19" spans="1:10" x14ac:dyDescent="0.25">
      <c r="C19" s="4"/>
      <c r="D19" s="4"/>
      <c r="E19" s="4"/>
      <c r="F19" s="4"/>
    </row>
    <row r="20" spans="1:10" ht="15.75" thickBot="1" x14ac:dyDescent="0.3">
      <c r="C20" s="8" t="s">
        <v>1</v>
      </c>
      <c r="D20" s="8" t="s">
        <v>13</v>
      </c>
      <c r="E20" s="9">
        <f>+F21</f>
        <v>272000</v>
      </c>
      <c r="F20" s="8"/>
      <c r="H20" s="76" t="s">
        <v>134</v>
      </c>
      <c r="I20" s="76"/>
      <c r="J20" s="76"/>
    </row>
    <row r="21" spans="1:10" x14ac:dyDescent="0.25">
      <c r="A21" s="2"/>
      <c r="C21" s="8" t="s">
        <v>23</v>
      </c>
      <c r="D21" s="8" t="s">
        <v>24</v>
      </c>
      <c r="E21" s="8"/>
      <c r="F21" s="18">
        <f>+J18</f>
        <v>272000</v>
      </c>
      <c r="I21" s="13" t="s">
        <v>115</v>
      </c>
      <c r="J21" s="15">
        <f>40*4100*93</f>
        <v>15252000</v>
      </c>
    </row>
    <row r="22" spans="1:10" ht="15.75" thickBot="1" x14ac:dyDescent="0.3">
      <c r="A22" s="2"/>
      <c r="C22" s="75" t="s">
        <v>25</v>
      </c>
      <c r="D22" s="75"/>
      <c r="E22" s="75"/>
      <c r="F22" s="75"/>
      <c r="I22" s="13" t="s">
        <v>120</v>
      </c>
      <c r="J22" s="16">
        <f>-18000*164</f>
        <v>-2952000</v>
      </c>
    </row>
    <row r="23" spans="1:10" x14ac:dyDescent="0.25">
      <c r="A23" s="2"/>
      <c r="C23" s="4"/>
      <c r="D23" s="4"/>
      <c r="E23" s="4"/>
      <c r="F23" s="4"/>
      <c r="I23" s="14" t="s">
        <v>50</v>
      </c>
      <c r="J23" s="20">
        <f>+J21+J22</f>
        <v>12300000</v>
      </c>
    </row>
    <row r="24" spans="1:10" ht="15.75" thickBot="1" x14ac:dyDescent="0.3">
      <c r="C24" s="8" t="s">
        <v>1</v>
      </c>
      <c r="D24" s="8" t="s">
        <v>116</v>
      </c>
      <c r="E24" s="27">
        <f>+J25</f>
        <v>11537400</v>
      </c>
      <c r="F24" s="8"/>
      <c r="I24" s="14" t="s">
        <v>51</v>
      </c>
      <c r="J24" s="12">
        <f>-J21*0.05</f>
        <v>-762600</v>
      </c>
    </row>
    <row r="25" spans="1:10" x14ac:dyDescent="0.25">
      <c r="C25" s="8" t="s">
        <v>23</v>
      </c>
      <c r="D25" s="8" t="s">
        <v>117</v>
      </c>
      <c r="E25" s="8"/>
      <c r="F25" s="9">
        <f>+E24</f>
        <v>11537400</v>
      </c>
      <c r="J25" s="28">
        <f>+J23+J24</f>
        <v>11537400</v>
      </c>
    </row>
    <row r="26" spans="1:10" x14ac:dyDescent="0.25">
      <c r="C26" s="75" t="s">
        <v>122</v>
      </c>
      <c r="D26" s="75"/>
      <c r="E26" s="75"/>
      <c r="F26" s="75"/>
    </row>
    <row r="27" spans="1:10" ht="15.75" thickBot="1" x14ac:dyDescent="0.3">
      <c r="C27" s="4"/>
      <c r="D27" s="4"/>
      <c r="E27" s="4"/>
      <c r="F27" s="4"/>
      <c r="H27" s="76" t="s">
        <v>26</v>
      </c>
      <c r="I27" s="76"/>
      <c r="J27" s="76"/>
    </row>
    <row r="28" spans="1:10" x14ac:dyDescent="0.25">
      <c r="C28" s="8" t="s">
        <v>3</v>
      </c>
      <c r="D28" s="8" t="s">
        <v>26</v>
      </c>
      <c r="E28" s="21">
        <f>+J33</f>
        <v>10608200</v>
      </c>
      <c r="F28" s="8"/>
      <c r="I28" s="14" t="s">
        <v>52</v>
      </c>
      <c r="J28" s="20">
        <v>2120000</v>
      </c>
    </row>
    <row r="29" spans="1:10" x14ac:dyDescent="0.25">
      <c r="C29" s="8" t="s">
        <v>7</v>
      </c>
      <c r="D29" s="8" t="s">
        <v>27</v>
      </c>
      <c r="E29" s="8"/>
      <c r="F29" s="9">
        <f>+E28</f>
        <v>10608200</v>
      </c>
      <c r="G29" s="29">
        <f>+F29-E20-E13-E9</f>
        <v>0</v>
      </c>
      <c r="I29" s="14" t="s">
        <v>53</v>
      </c>
      <c r="J29" s="20">
        <f>+E2</f>
        <v>3080000</v>
      </c>
    </row>
    <row r="30" spans="1:10" x14ac:dyDescent="0.25">
      <c r="C30" s="75" t="s">
        <v>28</v>
      </c>
      <c r="D30" s="75"/>
      <c r="E30" s="75"/>
      <c r="F30" s="75"/>
      <c r="I30" s="14" t="s">
        <v>54</v>
      </c>
      <c r="J30" s="20">
        <f>+E3+E4+E5+F10</f>
        <v>5136200</v>
      </c>
    </row>
    <row r="31" spans="1:10" x14ac:dyDescent="0.25">
      <c r="I31" s="14" t="s">
        <v>55</v>
      </c>
      <c r="J31" s="20">
        <f>+F21</f>
        <v>272000</v>
      </c>
    </row>
    <row r="32" spans="1:10" ht="15.75" thickBot="1" x14ac:dyDescent="0.3">
      <c r="C32" s="8" t="s">
        <v>1</v>
      </c>
      <c r="D32" s="8" t="s">
        <v>29</v>
      </c>
      <c r="E32" s="9">
        <f>+F35-E34-E33</f>
        <v>11689750</v>
      </c>
      <c r="F32" s="8"/>
      <c r="I32" s="14" t="s">
        <v>56</v>
      </c>
      <c r="J32" s="12">
        <v>0</v>
      </c>
    </row>
    <row r="33" spans="3:10" x14ac:dyDescent="0.25">
      <c r="C33" s="8" t="s">
        <v>3</v>
      </c>
      <c r="D33" s="8" t="s">
        <v>30</v>
      </c>
      <c r="E33" s="9">
        <f>+F35*0.025</f>
        <v>307625</v>
      </c>
      <c r="F33" s="8"/>
      <c r="J33" s="22">
        <f>+SUM(J28:J32)</f>
        <v>10608200</v>
      </c>
    </row>
    <row r="34" spans="3:10" x14ac:dyDescent="0.25">
      <c r="C34" s="8" t="s">
        <v>3</v>
      </c>
      <c r="D34" s="8" t="s">
        <v>57</v>
      </c>
      <c r="E34" s="9">
        <f>+F35*0.025</f>
        <v>307625</v>
      </c>
      <c r="F34" s="8"/>
    </row>
    <row r="35" spans="3:10" x14ac:dyDescent="0.25">
      <c r="C35" s="8" t="s">
        <v>23</v>
      </c>
      <c r="D35" s="8" t="s">
        <v>31</v>
      </c>
      <c r="E35" s="8"/>
      <c r="F35" s="9">
        <f>115*107000</f>
        <v>12305000</v>
      </c>
      <c r="G35" s="2"/>
    </row>
    <row r="36" spans="3:10" ht="15.75" thickBot="1" x14ac:dyDescent="0.3">
      <c r="C36" s="75" t="s">
        <v>124</v>
      </c>
      <c r="D36" s="75"/>
      <c r="E36" s="75"/>
      <c r="F36" s="75"/>
      <c r="G36" s="2"/>
      <c r="H36" s="77" t="s">
        <v>135</v>
      </c>
      <c r="I36" s="77"/>
      <c r="J36" s="77"/>
    </row>
    <row r="37" spans="3:10" x14ac:dyDescent="0.25">
      <c r="C37" s="72"/>
      <c r="D37" s="72"/>
      <c r="E37" s="72"/>
      <c r="F37" s="72"/>
      <c r="G37" s="2"/>
      <c r="I37" s="13" t="s">
        <v>136</v>
      </c>
      <c r="J37" s="15">
        <f>115*107000</f>
        <v>12305000</v>
      </c>
    </row>
    <row r="38" spans="3:10" ht="15.75" thickBot="1" x14ac:dyDescent="0.3">
      <c r="C38" s="8" t="s">
        <v>3</v>
      </c>
      <c r="D38" s="8" t="s">
        <v>32</v>
      </c>
      <c r="E38" s="17">
        <f>+J41</f>
        <v>9493250</v>
      </c>
      <c r="F38" s="8"/>
      <c r="G38" s="29">
        <f>+E38-Anexos!C20</f>
        <v>0</v>
      </c>
      <c r="I38" s="13" t="s">
        <v>137</v>
      </c>
      <c r="J38" s="16">
        <f>-115*19100</f>
        <v>-2196500</v>
      </c>
    </row>
    <row r="39" spans="3:10" x14ac:dyDescent="0.25">
      <c r="C39" s="8" t="s">
        <v>23</v>
      </c>
      <c r="D39" s="8" t="s">
        <v>59</v>
      </c>
      <c r="E39" s="8"/>
      <c r="F39" s="25">
        <f>+J43</f>
        <v>1403000</v>
      </c>
      <c r="I39" s="14" t="s">
        <v>50</v>
      </c>
      <c r="J39" s="20">
        <f>+J37+J38</f>
        <v>10108500</v>
      </c>
    </row>
    <row r="40" spans="3:10" ht="15.75" thickBot="1" x14ac:dyDescent="0.3">
      <c r="C40" s="8" t="s">
        <v>7</v>
      </c>
      <c r="D40" s="8" t="s">
        <v>119</v>
      </c>
      <c r="E40" s="8"/>
      <c r="F40" s="9">
        <f>+J42</f>
        <v>8090250</v>
      </c>
      <c r="I40" s="14" t="s">
        <v>51</v>
      </c>
      <c r="J40" s="12">
        <f>-J37*0.05</f>
        <v>-615250</v>
      </c>
    </row>
    <row r="41" spans="3:10" x14ac:dyDescent="0.25">
      <c r="C41" s="75" t="s">
        <v>125</v>
      </c>
      <c r="D41" s="75"/>
      <c r="E41" s="75"/>
      <c r="F41" s="75"/>
      <c r="J41" s="81">
        <f>+J39+J40</f>
        <v>9493250</v>
      </c>
    </row>
    <row r="42" spans="3:10" ht="15.75" thickBot="1" x14ac:dyDescent="0.3">
      <c r="C42" s="10"/>
      <c r="D42" s="10"/>
      <c r="E42" s="10"/>
      <c r="F42" s="10"/>
      <c r="I42" s="14" t="s">
        <v>118</v>
      </c>
      <c r="J42" s="12">
        <f>+J25/164*115</f>
        <v>8090250</v>
      </c>
    </row>
    <row r="43" spans="3:10" x14ac:dyDescent="0.25">
      <c r="C43" s="8" t="s">
        <v>1</v>
      </c>
      <c r="D43" s="8" t="s">
        <v>2</v>
      </c>
      <c r="E43" s="9">
        <v>4520000</v>
      </c>
      <c r="F43" s="8"/>
      <c r="J43" s="26">
        <f>+J41-J42</f>
        <v>1403000</v>
      </c>
    </row>
    <row r="44" spans="3:10" x14ac:dyDescent="0.25">
      <c r="C44" s="8" t="s">
        <v>10</v>
      </c>
      <c r="D44" s="8" t="s">
        <v>11</v>
      </c>
      <c r="E44" s="8"/>
      <c r="F44" s="9">
        <f>+E43</f>
        <v>4520000</v>
      </c>
    </row>
    <row r="45" spans="3:10" ht="15.75" thickBot="1" x14ac:dyDescent="0.3">
      <c r="C45" s="75" t="s">
        <v>12</v>
      </c>
      <c r="D45" s="75"/>
      <c r="E45" s="75"/>
      <c r="F45" s="75"/>
      <c r="H45" s="76" t="s">
        <v>60</v>
      </c>
      <c r="I45" s="76"/>
      <c r="J45" s="76"/>
    </row>
    <row r="46" spans="3:10" x14ac:dyDescent="0.25">
      <c r="C46" s="4"/>
      <c r="D46" s="4"/>
      <c r="E46" s="4"/>
      <c r="F46" s="4"/>
      <c r="I46" s="14" t="s">
        <v>61</v>
      </c>
      <c r="J46" s="20">
        <f>+E43</f>
        <v>4520000</v>
      </c>
    </row>
    <row r="47" spans="3:10" ht="15.75" thickBot="1" x14ac:dyDescent="0.3">
      <c r="C47" s="8" t="s">
        <v>1</v>
      </c>
      <c r="D47" s="8" t="s">
        <v>2</v>
      </c>
      <c r="E47" s="9">
        <f>+F48</f>
        <v>290000</v>
      </c>
      <c r="F47" s="8"/>
      <c r="I47" s="14" t="s">
        <v>62</v>
      </c>
      <c r="J47" s="33">
        <v>4810000</v>
      </c>
    </row>
    <row r="48" spans="3:10" x14ac:dyDescent="0.25">
      <c r="C48" s="8" t="s">
        <v>23</v>
      </c>
      <c r="D48" s="8" t="s">
        <v>33</v>
      </c>
      <c r="E48" s="8"/>
      <c r="F48" s="23">
        <f>+J48</f>
        <v>290000</v>
      </c>
      <c r="I48" s="14"/>
      <c r="J48" s="24">
        <f>+J47-J46</f>
        <v>290000</v>
      </c>
    </row>
    <row r="49" spans="3:11" x14ac:dyDescent="0.25">
      <c r="C49" s="75" t="s">
        <v>34</v>
      </c>
      <c r="D49" s="75"/>
      <c r="E49" s="75"/>
      <c r="F49" s="75"/>
      <c r="K49" s="32"/>
    </row>
    <row r="50" spans="3:11" ht="15.75" thickBot="1" x14ac:dyDescent="0.3">
      <c r="C50" s="4"/>
      <c r="D50" s="4"/>
      <c r="E50" s="4"/>
      <c r="F50" s="4"/>
      <c r="H50" s="76" t="s">
        <v>43</v>
      </c>
      <c r="I50" s="76"/>
      <c r="J50" s="76"/>
      <c r="K50" s="82"/>
    </row>
    <row r="51" spans="3:11" x14ac:dyDescent="0.25">
      <c r="C51" s="8" t="s">
        <v>3</v>
      </c>
      <c r="D51" s="8" t="s">
        <v>35</v>
      </c>
      <c r="E51" s="36">
        <f>+J53</f>
        <v>230000</v>
      </c>
      <c r="F51" s="8"/>
      <c r="I51" s="14" t="s">
        <v>61</v>
      </c>
      <c r="J51" s="20">
        <f>+F44</f>
        <v>4520000</v>
      </c>
      <c r="K51" s="83"/>
    </row>
    <row r="52" spans="3:11" ht="15.75" thickBot="1" x14ac:dyDescent="0.3">
      <c r="C52" s="8" t="s">
        <v>10</v>
      </c>
      <c r="D52" s="8" t="s">
        <v>11</v>
      </c>
      <c r="E52" s="8"/>
      <c r="F52" s="9">
        <f>+E51</f>
        <v>230000</v>
      </c>
      <c r="I52" s="14" t="s">
        <v>62</v>
      </c>
      <c r="J52" s="33">
        <f>95000*50</f>
        <v>4750000</v>
      </c>
      <c r="K52" s="82"/>
    </row>
    <row r="53" spans="3:11" x14ac:dyDescent="0.25">
      <c r="C53" s="75" t="s">
        <v>36</v>
      </c>
      <c r="D53" s="75"/>
      <c r="E53" s="75"/>
      <c r="F53" s="75"/>
      <c r="I53" s="14"/>
      <c r="J53" s="37">
        <f>+J52-J51</f>
        <v>230000</v>
      </c>
    </row>
    <row r="55" spans="3:11" ht="15.75" thickBot="1" x14ac:dyDescent="0.3">
      <c r="C55" s="8" t="s">
        <v>3</v>
      </c>
      <c r="D55" s="8" t="s">
        <v>63</v>
      </c>
      <c r="E55" s="34">
        <f>-J62</f>
        <v>254800</v>
      </c>
      <c r="F55" s="8"/>
      <c r="H55" s="76" t="s">
        <v>58</v>
      </c>
      <c r="I55" s="76"/>
      <c r="J55" s="76"/>
    </row>
    <row r="56" spans="3:11" x14ac:dyDescent="0.25">
      <c r="C56" s="8" t="s">
        <v>7</v>
      </c>
      <c r="D56" s="8" t="s">
        <v>119</v>
      </c>
      <c r="E56" s="8"/>
      <c r="F56" s="31">
        <f>+E55</f>
        <v>254800</v>
      </c>
      <c r="I56" s="13" t="s">
        <v>127</v>
      </c>
      <c r="J56" s="15">
        <f>49*95000</f>
        <v>4655000</v>
      </c>
    </row>
    <row r="57" spans="3:11" ht="15.75" thickBot="1" x14ac:dyDescent="0.3">
      <c r="C57" s="75" t="s">
        <v>126</v>
      </c>
      <c r="D57" s="75"/>
      <c r="E57" s="75"/>
      <c r="F57" s="75"/>
      <c r="I57" s="13" t="s">
        <v>128</v>
      </c>
      <c r="J57" s="16">
        <f>-25100*49</f>
        <v>-1229900</v>
      </c>
    </row>
    <row r="58" spans="3:11" x14ac:dyDescent="0.25">
      <c r="I58" s="14" t="s">
        <v>50</v>
      </c>
      <c r="J58" s="20">
        <f>+J56+J57</f>
        <v>3425100</v>
      </c>
    </row>
    <row r="59" spans="3:11" ht="15.75" thickBot="1" x14ac:dyDescent="0.3">
      <c r="I59" s="14" t="s">
        <v>51</v>
      </c>
      <c r="J59" s="12">
        <f>-J56*0.05</f>
        <v>-232750</v>
      </c>
    </row>
    <row r="60" spans="3:11" x14ac:dyDescent="0.25">
      <c r="J60" s="30">
        <f>+J58+J59</f>
        <v>3192350</v>
      </c>
    </row>
    <row r="61" spans="3:11" ht="15.75" thickBot="1" x14ac:dyDescent="0.3">
      <c r="I61" s="14" t="s">
        <v>118</v>
      </c>
      <c r="J61" s="12">
        <f>+J25/164*49</f>
        <v>3447150</v>
      </c>
    </row>
    <row r="62" spans="3:11" x14ac:dyDescent="0.25">
      <c r="J62" s="35">
        <f>+J60-J61</f>
        <v>-254800</v>
      </c>
    </row>
  </sheetData>
  <mergeCells count="19">
    <mergeCell ref="H11:J11"/>
    <mergeCell ref="H27:J27"/>
    <mergeCell ref="H50:J50"/>
    <mergeCell ref="H55:J55"/>
    <mergeCell ref="H20:J20"/>
    <mergeCell ref="H36:J36"/>
    <mergeCell ref="H45:J45"/>
    <mergeCell ref="C57:F57"/>
    <mergeCell ref="C49:F49"/>
    <mergeCell ref="C7:F7"/>
    <mergeCell ref="C45:F45"/>
    <mergeCell ref="C11:F11"/>
    <mergeCell ref="C18:F18"/>
    <mergeCell ref="C22:F22"/>
    <mergeCell ref="C26:F26"/>
    <mergeCell ref="C53:F53"/>
    <mergeCell ref="C30:F30"/>
    <mergeCell ref="C36:F36"/>
    <mergeCell ref="C41:F4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workbookViewId="0">
      <selection activeCell="C17" sqref="C17"/>
    </sheetView>
  </sheetViews>
  <sheetFormatPr baseColWidth="10" defaultRowHeight="12.75" x14ac:dyDescent="0.2"/>
  <cols>
    <col min="1" max="1" width="11.42578125" style="4"/>
    <col min="2" max="2" width="65.85546875" style="4" customWidth="1"/>
    <col min="3" max="3" width="27.140625" style="4" bestFit="1" customWidth="1"/>
    <col min="4" max="16384" width="11.42578125" style="4"/>
  </cols>
  <sheetData>
    <row r="1" spans="2:3" ht="13.5" thickBot="1" x14ac:dyDescent="0.25"/>
    <row r="2" spans="2:3" ht="15.75" thickBot="1" x14ac:dyDescent="0.25">
      <c r="B2" s="38" t="s">
        <v>129</v>
      </c>
      <c r="C2" s="39">
        <f>+'REGISTRACIONES CONTABLES'!F25</f>
        <v>11537400</v>
      </c>
    </row>
    <row r="3" spans="2:3" ht="15.75" thickBot="1" x14ac:dyDescent="0.25">
      <c r="B3" s="40" t="s">
        <v>64</v>
      </c>
      <c r="C3" s="41">
        <f>-Anexos!C10</f>
        <v>-10608200</v>
      </c>
    </row>
    <row r="4" spans="2:3" ht="15.75" thickBot="1" x14ac:dyDescent="0.25">
      <c r="B4" s="42" t="s">
        <v>130</v>
      </c>
      <c r="C4" s="43">
        <f>+SUM(C2:C3)</f>
        <v>929200</v>
      </c>
    </row>
    <row r="5" spans="2:3" ht="13.5" thickBot="1" x14ac:dyDescent="0.25">
      <c r="B5" s="44"/>
      <c r="C5" s="45"/>
    </row>
    <row r="6" spans="2:3" ht="15.75" thickBot="1" x14ac:dyDescent="0.25">
      <c r="B6" s="38" t="s">
        <v>65</v>
      </c>
      <c r="C6" s="39">
        <f>+'REGISTRACIONES CONTABLES'!F35</f>
        <v>12305000</v>
      </c>
    </row>
    <row r="7" spans="2:3" ht="15.75" thickBot="1" x14ac:dyDescent="0.25">
      <c r="B7" s="40" t="s">
        <v>66</v>
      </c>
      <c r="C7" s="41">
        <f>-Anexos!C20</f>
        <v>-9493250</v>
      </c>
    </row>
    <row r="8" spans="2:3" ht="15.75" thickBot="1" x14ac:dyDescent="0.25">
      <c r="B8" s="42" t="s">
        <v>131</v>
      </c>
      <c r="C8" s="43">
        <f>+SUM(C6:C7)</f>
        <v>2811750</v>
      </c>
    </row>
    <row r="9" spans="2:3" ht="13.5" thickBot="1" x14ac:dyDescent="0.25">
      <c r="B9" s="44"/>
      <c r="C9" s="46"/>
    </row>
    <row r="10" spans="2:3" ht="15.75" thickBot="1" x14ac:dyDescent="0.25">
      <c r="B10" s="38" t="s">
        <v>67</v>
      </c>
      <c r="C10" s="47"/>
    </row>
    <row r="11" spans="2:3" ht="15.75" thickBot="1" x14ac:dyDescent="0.25">
      <c r="B11" s="73" t="s">
        <v>132</v>
      </c>
      <c r="C11" s="48">
        <f>+'REGISTRACIONES CONTABLES'!J43+'REGISTRACIONES CONTABLES'!J62</f>
        <v>1148200</v>
      </c>
    </row>
    <row r="12" spans="2:3" ht="13.5" thickBot="1" x14ac:dyDescent="0.25">
      <c r="B12" s="49"/>
      <c r="C12" s="47"/>
    </row>
    <row r="13" spans="2:3" ht="15.75" thickBot="1" x14ac:dyDescent="0.25">
      <c r="B13" s="40" t="s">
        <v>68</v>
      </c>
      <c r="C13" s="48">
        <f>-Anexos!E30</f>
        <v>-615250</v>
      </c>
    </row>
    <row r="14" spans="2:3" ht="13.5" thickBot="1" x14ac:dyDescent="0.25">
      <c r="B14" s="49"/>
      <c r="C14" s="47"/>
    </row>
    <row r="15" spans="2:3" ht="15.75" thickBot="1" x14ac:dyDescent="0.25">
      <c r="B15" s="50" t="s">
        <v>69</v>
      </c>
      <c r="C15" s="51">
        <f>+Anexos!C39</f>
        <v>332000</v>
      </c>
    </row>
    <row r="16" spans="2:3" ht="16.5" thickTop="1" thickBot="1" x14ac:dyDescent="0.25">
      <c r="B16" s="52" t="s">
        <v>70</v>
      </c>
      <c r="C16" s="53">
        <f>+C4+C8+C11+C13+C15</f>
        <v>4605900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workbookViewId="0">
      <selection activeCell="C18" sqref="C18"/>
    </sheetView>
  </sheetViews>
  <sheetFormatPr baseColWidth="10" defaultRowHeight="15" x14ac:dyDescent="0.25"/>
  <cols>
    <col min="2" max="2" width="36.140625" customWidth="1"/>
    <col min="3" max="3" width="21" customWidth="1"/>
    <col min="4" max="4" width="15.85546875" bestFit="1" customWidth="1"/>
    <col min="5" max="5" width="20.140625" customWidth="1"/>
  </cols>
  <sheetData>
    <row r="2" spans="2:3" ht="15.75" thickBot="1" x14ac:dyDescent="0.3">
      <c r="B2" s="78" t="s">
        <v>79</v>
      </c>
      <c r="C2" s="78"/>
    </row>
    <row r="3" spans="2:3" ht="15.75" thickBot="1" x14ac:dyDescent="0.3">
      <c r="B3" s="63" t="s">
        <v>71</v>
      </c>
      <c r="C3" s="63" t="s">
        <v>72</v>
      </c>
    </row>
    <row r="4" spans="2:3" ht="15.75" thickBot="1" x14ac:dyDescent="0.3">
      <c r="B4" s="54" t="s">
        <v>73</v>
      </c>
      <c r="C4" s="55">
        <f>+'REGISTRACIONES CONTABLES'!J28</f>
        <v>2120000</v>
      </c>
    </row>
    <row r="5" spans="2:3" ht="15.75" thickBot="1" x14ac:dyDescent="0.3">
      <c r="B5" s="56" t="s">
        <v>74</v>
      </c>
      <c r="C5" s="57">
        <f>+'REGISTRACIONES CONTABLES'!J29+'REGISTRACIONES CONTABLES'!E43</f>
        <v>7600000</v>
      </c>
    </row>
    <row r="6" spans="2:3" ht="15.75" thickBot="1" x14ac:dyDescent="0.3">
      <c r="B6" s="54" t="s">
        <v>75</v>
      </c>
      <c r="C6" s="55">
        <f>+D30</f>
        <v>5136200</v>
      </c>
    </row>
    <row r="7" spans="2:3" ht="15.75" thickBot="1" x14ac:dyDescent="0.3">
      <c r="B7" s="56" t="s">
        <v>76</v>
      </c>
      <c r="C7" s="57">
        <f>+'REGISTRACIONES CONTABLES'!J31+'REGISTRACIONES CONTABLES'!J48</f>
        <v>562000</v>
      </c>
    </row>
    <row r="8" spans="2:3" ht="15.75" thickBot="1" x14ac:dyDescent="0.3">
      <c r="B8" s="58" t="s">
        <v>77</v>
      </c>
      <c r="C8" s="55">
        <f>+SUM(C4:C7)</f>
        <v>15418200</v>
      </c>
    </row>
    <row r="9" spans="2:3" ht="15.75" thickBot="1" x14ac:dyDescent="0.3">
      <c r="B9" s="59" t="s">
        <v>78</v>
      </c>
      <c r="C9" s="60">
        <f>+'REGISTRACIONES CONTABLES'!J47</f>
        <v>4810000</v>
      </c>
    </row>
    <row r="10" spans="2:3" ht="16.5" thickTop="1" thickBot="1" x14ac:dyDescent="0.3">
      <c r="B10" s="61" t="s">
        <v>133</v>
      </c>
      <c r="C10" s="62">
        <f>+C8-C9</f>
        <v>10608200</v>
      </c>
    </row>
    <row r="12" spans="2:3" ht="15.75" thickBot="1" x14ac:dyDescent="0.3">
      <c r="B12" s="78" t="s">
        <v>85</v>
      </c>
      <c r="C12" s="78"/>
    </row>
    <row r="13" spans="2:3" ht="15.75" thickBot="1" x14ac:dyDescent="0.3">
      <c r="B13" s="63" t="s">
        <v>71</v>
      </c>
      <c r="C13" s="63" t="s">
        <v>72</v>
      </c>
    </row>
    <row r="14" spans="2:3" ht="15.75" thickBot="1" x14ac:dyDescent="0.3">
      <c r="B14" s="54" t="s">
        <v>80</v>
      </c>
      <c r="C14" s="58" t="s">
        <v>81</v>
      </c>
    </row>
    <row r="15" spans="2:3" ht="15.75" thickBot="1" x14ac:dyDescent="0.3">
      <c r="B15" s="56" t="s">
        <v>74</v>
      </c>
      <c r="C15" s="64" t="s">
        <v>81</v>
      </c>
    </row>
    <row r="16" spans="2:3" ht="15.75" thickBot="1" x14ac:dyDescent="0.3">
      <c r="B16" s="54" t="s">
        <v>82</v>
      </c>
      <c r="C16" s="55">
        <f>+'REGISTRACIONES CONTABLES'!J25</f>
        <v>11537400</v>
      </c>
    </row>
    <row r="17" spans="2:5" ht="15.75" thickBot="1" x14ac:dyDescent="0.3">
      <c r="B17" s="56" t="s">
        <v>83</v>
      </c>
      <c r="C17" s="57">
        <f>+'REGISTRACIONES CONTABLES'!J62+'REGISTRACIONES CONTABLES'!J43</f>
        <v>1148200</v>
      </c>
    </row>
    <row r="18" spans="2:5" ht="15.75" thickBot="1" x14ac:dyDescent="0.3">
      <c r="B18" s="58" t="s">
        <v>77</v>
      </c>
      <c r="C18" s="55">
        <f>+SUM(C14:C17)</f>
        <v>12685600</v>
      </c>
    </row>
    <row r="19" spans="2:5" ht="15.75" thickBot="1" x14ac:dyDescent="0.3">
      <c r="B19" s="59" t="s">
        <v>78</v>
      </c>
      <c r="C19" s="60">
        <f>+'REGISTRACIONES CONTABLES'!J60</f>
        <v>3192350</v>
      </c>
    </row>
    <row r="20" spans="2:5" ht="16.5" thickTop="1" thickBot="1" x14ac:dyDescent="0.3">
      <c r="B20" s="61" t="s">
        <v>84</v>
      </c>
      <c r="C20" s="62">
        <f>+C18-C19</f>
        <v>9493250</v>
      </c>
    </row>
    <row r="22" spans="2:5" ht="15.75" thickBot="1" x14ac:dyDescent="0.3">
      <c r="B22" s="78" t="s">
        <v>96</v>
      </c>
      <c r="C22" s="78"/>
      <c r="D22" s="78"/>
      <c r="E22" s="78"/>
    </row>
    <row r="23" spans="2:5" ht="30.75" thickBot="1" x14ac:dyDescent="0.3">
      <c r="B23" s="63" t="s">
        <v>71</v>
      </c>
      <c r="C23" s="63" t="s">
        <v>86</v>
      </c>
      <c r="D23" s="63" t="s">
        <v>87</v>
      </c>
      <c r="E23" s="63" t="s">
        <v>88</v>
      </c>
    </row>
    <row r="24" spans="2:5" ht="15.75" thickBot="1" x14ac:dyDescent="0.3">
      <c r="B24" s="54" t="s">
        <v>89</v>
      </c>
      <c r="C24" s="55">
        <f>+'REGISTRACIONES CONTABLES'!E3</f>
        <v>1958000</v>
      </c>
      <c r="D24" s="55">
        <f>+C24</f>
        <v>1958000</v>
      </c>
      <c r="E24" s="65"/>
    </row>
    <row r="25" spans="2:5" ht="15.75" thickBot="1" x14ac:dyDescent="0.3">
      <c r="B25" s="56" t="s">
        <v>90</v>
      </c>
      <c r="C25" s="57">
        <f>+'REGISTRACIONES CONTABLES'!E5</f>
        <v>1204000</v>
      </c>
      <c r="D25" s="57">
        <f>+C25</f>
        <v>1204000</v>
      </c>
      <c r="E25" s="66"/>
    </row>
    <row r="26" spans="2:5" ht="15.75" thickBot="1" x14ac:dyDescent="0.3">
      <c r="B26" s="54" t="s">
        <v>91</v>
      </c>
      <c r="C26" s="55">
        <f>+'REGISTRACIONES CONTABLES'!E33</f>
        <v>307625</v>
      </c>
      <c r="D26" s="65"/>
      <c r="E26" s="55">
        <f>+C26</f>
        <v>307625</v>
      </c>
    </row>
    <row r="27" spans="2:5" ht="15.75" thickBot="1" x14ac:dyDescent="0.3">
      <c r="B27" s="56" t="s">
        <v>92</v>
      </c>
      <c r="C27" s="57">
        <f>+'REGISTRACIONES CONTABLES'!E9</f>
        <v>501200</v>
      </c>
      <c r="D27" s="57">
        <f>+C27</f>
        <v>501200</v>
      </c>
      <c r="E27" s="66"/>
    </row>
    <row r="28" spans="2:5" ht="15.75" thickBot="1" x14ac:dyDescent="0.3">
      <c r="B28" s="54" t="s">
        <v>93</v>
      </c>
      <c r="C28" s="55">
        <f>+'REGISTRACIONES CONTABLES'!E4</f>
        <v>1473000</v>
      </c>
      <c r="D28" s="55">
        <f>+C28</f>
        <v>1473000</v>
      </c>
      <c r="E28" s="65"/>
    </row>
    <row r="29" spans="2:5" ht="15.75" thickBot="1" x14ac:dyDescent="0.3">
      <c r="B29" s="59" t="s">
        <v>94</v>
      </c>
      <c r="C29" s="60">
        <f>+'REGISTRACIONES CONTABLES'!E34</f>
        <v>307625</v>
      </c>
      <c r="D29" s="67"/>
      <c r="E29" s="60">
        <f>+C29</f>
        <v>307625</v>
      </c>
    </row>
    <row r="30" spans="2:5" ht="16.5" thickTop="1" thickBot="1" x14ac:dyDescent="0.3">
      <c r="B30" s="61" t="s">
        <v>95</v>
      </c>
      <c r="C30" s="62">
        <f>+SUM(C24:C29)</f>
        <v>5751450</v>
      </c>
      <c r="D30" s="62">
        <f>+SUM(D24:D29)</f>
        <v>5136200</v>
      </c>
      <c r="E30" s="62">
        <f>+SUM(E24:E29)</f>
        <v>615250</v>
      </c>
    </row>
    <row r="32" spans="2:5" ht="15.75" thickBot="1" x14ac:dyDescent="0.3"/>
    <row r="33" spans="2:3" ht="15.75" thickBot="1" x14ac:dyDescent="0.3">
      <c r="B33" s="79" t="s">
        <v>97</v>
      </c>
      <c r="C33" s="80"/>
    </row>
    <row r="34" spans="2:3" ht="15.75" thickBot="1" x14ac:dyDescent="0.3">
      <c r="B34" s="68" t="s">
        <v>98</v>
      </c>
      <c r="C34" s="65"/>
    </row>
    <row r="35" spans="2:3" ht="15.75" thickBot="1" x14ac:dyDescent="0.3">
      <c r="B35" s="56" t="s">
        <v>99</v>
      </c>
      <c r="C35" s="57">
        <f>+'REGISTRACIONES CONTABLES'!J48</f>
        <v>290000</v>
      </c>
    </row>
    <row r="36" spans="2:3" ht="15.75" thickBot="1" x14ac:dyDescent="0.3">
      <c r="B36" s="54" t="s">
        <v>100</v>
      </c>
      <c r="C36" s="55">
        <f>+'REGISTRACIONES CONTABLES'!J18</f>
        <v>272000</v>
      </c>
    </row>
    <row r="37" spans="2:3" ht="15.75" thickBot="1" x14ac:dyDescent="0.3">
      <c r="B37" s="69" t="s">
        <v>101</v>
      </c>
      <c r="C37" s="66"/>
    </row>
    <row r="38" spans="2:3" ht="30.75" thickBot="1" x14ac:dyDescent="0.3">
      <c r="B38" s="70" t="s">
        <v>102</v>
      </c>
      <c r="C38" s="71">
        <f>'REGISTRACIONES CONTABLES'!E51</f>
        <v>230000</v>
      </c>
    </row>
    <row r="39" spans="2:3" ht="16.5" thickTop="1" thickBot="1" x14ac:dyDescent="0.3">
      <c r="B39" s="61" t="s">
        <v>86</v>
      </c>
      <c r="C39" s="62">
        <f>+SUM(C35:C36)-C38</f>
        <v>332000</v>
      </c>
    </row>
  </sheetData>
  <mergeCells count="4">
    <mergeCell ref="B2:C2"/>
    <mergeCell ref="B12:C12"/>
    <mergeCell ref="B22:E22"/>
    <mergeCell ref="B33:C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ENUNCIADO</vt:lpstr>
      <vt:lpstr>REGISTRACIONES CONTABLES</vt:lpstr>
      <vt:lpstr>ER</vt:lpstr>
      <vt:lpstr>Anexos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poramora sepo</dc:creator>
  <cp:lastModifiedBy>Nuria Gutierrez</cp:lastModifiedBy>
  <dcterms:created xsi:type="dcterms:W3CDTF">2020-09-05T18:55:43Z</dcterms:created>
  <dcterms:modified xsi:type="dcterms:W3CDTF">2023-08-13T14:08:46Z</dcterms:modified>
</cp:coreProperties>
</file>