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dad\Materias de grado - UNS\Contabilidad III\Cursado 2023\clases presentacion de EC\"/>
    </mc:Choice>
  </mc:AlternateContent>
  <bookViews>
    <workbookView xWindow="0" yWindow="0" windowWidth="20490" windowHeight="7155"/>
  </bookViews>
  <sheets>
    <sheet name="datos" sheetId="5" r:id="rId1"/>
    <sheet name="anexo BU - 2017" sheetId="2" r:id="rId2"/>
    <sheet name="anexo BU - 2018" sheetId="3" r:id="rId3"/>
    <sheet name="anexo BU - 2019" sheetId="4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30" i="4"/>
  <c r="D30" i="4"/>
  <c r="F111" i="5"/>
  <c r="F118" i="5" s="1"/>
  <c r="F120" i="5" s="1"/>
  <c r="F106" i="5"/>
  <c r="E119" i="5"/>
  <c r="E112" i="5"/>
  <c r="E105" i="5"/>
  <c r="I37" i="3"/>
  <c r="E37" i="3"/>
  <c r="D9" i="3"/>
  <c r="D21" i="3" s="1"/>
  <c r="D34" i="3" s="1"/>
  <c r="D8" i="3"/>
  <c r="D20" i="3" s="1"/>
  <c r="D33" i="3" s="1"/>
  <c r="I83" i="5"/>
  <c r="I85" i="5" s="1"/>
  <c r="C77" i="5"/>
  <c r="C84" i="5" s="1"/>
  <c r="C76" i="5"/>
  <c r="C83" i="5" s="1"/>
  <c r="E84" i="5"/>
  <c r="H84" i="5" s="1"/>
  <c r="E77" i="5"/>
  <c r="H77" i="5" s="1"/>
  <c r="I69" i="5"/>
  <c r="I76" i="5" s="1"/>
  <c r="I78" i="5" s="1"/>
  <c r="E70" i="5"/>
  <c r="H70" i="5" s="1"/>
  <c r="H57" i="5"/>
  <c r="D56" i="5"/>
  <c r="D8" i="2"/>
  <c r="D20" i="2" s="1"/>
  <c r="D7" i="2"/>
  <c r="D19" i="2" s="1"/>
  <c r="F25" i="5"/>
  <c r="F32" i="5" s="1"/>
  <c r="F83" i="5" s="1"/>
  <c r="C111" i="5" s="1"/>
  <c r="C25" i="5"/>
  <c r="C32" i="5" s="1"/>
  <c r="E33" i="5"/>
  <c r="E26" i="5"/>
  <c r="H17" i="5"/>
  <c r="H18" i="5" s="1"/>
  <c r="F26" i="5" s="1"/>
  <c r="F33" i="5" s="1"/>
  <c r="F77" i="5" s="1"/>
  <c r="H12" i="5"/>
  <c r="H13" i="5" s="1"/>
  <c r="C26" i="5" s="1"/>
  <c r="C118" i="5" l="1"/>
  <c r="E19" i="4"/>
  <c r="E21" i="4" s="1"/>
  <c r="C119" i="5"/>
  <c r="C120" i="5" s="1"/>
  <c r="E8" i="4"/>
  <c r="E10" i="4" s="1"/>
  <c r="E31" i="4"/>
  <c r="E33" i="4" s="1"/>
  <c r="C78" i="5"/>
  <c r="F113" i="5"/>
  <c r="I71" i="5"/>
  <c r="C105" i="5"/>
  <c r="C112" i="5"/>
  <c r="F84" i="5"/>
  <c r="F85" i="5" s="1"/>
  <c r="C85" i="5"/>
  <c r="F69" i="5"/>
  <c r="F76" i="5"/>
  <c r="F78" i="5" s="1"/>
  <c r="H56" i="5"/>
  <c r="F70" i="5"/>
  <c r="H20" i="3"/>
  <c r="H33" i="3"/>
  <c r="I18" i="4" s="1"/>
  <c r="I30" i="4" s="1"/>
  <c r="C71" i="5"/>
  <c r="F34" i="5"/>
  <c r="C33" i="5"/>
  <c r="C34" i="5" s="1"/>
  <c r="C27" i="5"/>
  <c r="F27" i="5"/>
  <c r="H7" i="2"/>
  <c r="H19" i="2" s="1"/>
  <c r="H8" i="2"/>
  <c r="H20" i="2" s="1"/>
  <c r="E22" i="4"/>
  <c r="E34" i="4" s="1"/>
  <c r="J19" i="4"/>
  <c r="I19" i="4"/>
  <c r="I31" i="4" s="1"/>
  <c r="H19" i="4"/>
  <c r="H31" i="4" s="1"/>
  <c r="F19" i="4"/>
  <c r="F31" i="4" s="1"/>
  <c r="K8" i="4"/>
  <c r="D19" i="4"/>
  <c r="D31" i="4" s="1"/>
  <c r="D10" i="4"/>
  <c r="I21" i="3"/>
  <c r="I34" i="3" s="1"/>
  <c r="H21" i="3"/>
  <c r="H34" i="3" s="1"/>
  <c r="G21" i="3"/>
  <c r="G34" i="3" s="1"/>
  <c r="E21" i="3"/>
  <c r="E34" i="3" s="1"/>
  <c r="C21" i="3"/>
  <c r="C34" i="3" s="1"/>
  <c r="J9" i="3"/>
  <c r="L9" i="3"/>
  <c r="I22" i="2"/>
  <c r="G22" i="2"/>
  <c r="J23" i="2" s="1"/>
  <c r="G23" i="2" s="1"/>
  <c r="E22" i="2"/>
  <c r="C22" i="2"/>
  <c r="F23" i="2" s="1"/>
  <c r="L19" i="2"/>
  <c r="F8" i="2"/>
  <c r="C8" i="3" s="1"/>
  <c r="F19" i="2"/>
  <c r="C19" i="3" s="1"/>
  <c r="C32" i="3" s="1"/>
  <c r="L8" i="2"/>
  <c r="L20" i="2"/>
  <c r="I10" i="2"/>
  <c r="G10" i="2"/>
  <c r="J11" i="2" s="1"/>
  <c r="G11" i="2" s="1"/>
  <c r="E10" i="2"/>
  <c r="E11" i="4" s="1"/>
  <c r="C10" i="2"/>
  <c r="F11" i="2" s="1"/>
  <c r="L7" i="2"/>
  <c r="L21" i="3" l="1"/>
  <c r="H8" i="3"/>
  <c r="H11" i="3" s="1"/>
  <c r="I11" i="4" s="1"/>
  <c r="I7" i="4"/>
  <c r="I10" i="4" s="1"/>
  <c r="F71" i="5"/>
  <c r="C104" i="5"/>
  <c r="C106" i="5" s="1"/>
  <c r="C113" i="5"/>
  <c r="L23" i="2"/>
  <c r="J19" i="2"/>
  <c r="G19" i="3" s="1"/>
  <c r="J8" i="2"/>
  <c r="G8" i="3" s="1"/>
  <c r="L8" i="3" s="1"/>
  <c r="L34" i="3"/>
  <c r="H36" i="3"/>
  <c r="I22" i="4" s="1"/>
  <c r="I34" i="4" s="1"/>
  <c r="F21" i="4"/>
  <c r="D21" i="4"/>
  <c r="K19" i="4"/>
  <c r="D33" i="4"/>
  <c r="J31" i="4"/>
  <c r="K31" i="4" s="1"/>
  <c r="F33" i="4"/>
  <c r="J10" i="4"/>
  <c r="J21" i="4"/>
  <c r="F10" i="4"/>
  <c r="J34" i="3"/>
  <c r="F34" i="3"/>
  <c r="D11" i="3"/>
  <c r="D11" i="4" s="1"/>
  <c r="F21" i="3"/>
  <c r="J21" i="3"/>
  <c r="D23" i="3"/>
  <c r="F9" i="3"/>
  <c r="D10" i="2"/>
  <c r="D12" i="3" s="1"/>
  <c r="E32" i="3"/>
  <c r="D36" i="3"/>
  <c r="D22" i="4" s="1"/>
  <c r="D34" i="4" s="1"/>
  <c r="E19" i="3"/>
  <c r="E23" i="3" s="1"/>
  <c r="F8" i="3"/>
  <c r="D22" i="2"/>
  <c r="L11" i="2"/>
  <c r="C11" i="2"/>
  <c r="F7" i="2"/>
  <c r="C7" i="3" s="1"/>
  <c r="C23" i="2"/>
  <c r="L19" i="3" l="1"/>
  <c r="G32" i="3"/>
  <c r="I32" i="3" s="1"/>
  <c r="K8" i="2"/>
  <c r="K19" i="2"/>
  <c r="H22" i="2"/>
  <c r="J7" i="2"/>
  <c r="G7" i="3" s="1"/>
  <c r="I7" i="3" s="1"/>
  <c r="J7" i="3" s="1"/>
  <c r="H10" i="2"/>
  <c r="H12" i="3" s="1"/>
  <c r="I19" i="3"/>
  <c r="I23" i="3" s="1"/>
  <c r="J8" i="3"/>
  <c r="H7" i="4" s="1"/>
  <c r="H10" i="4" s="1"/>
  <c r="K11" i="4" s="1"/>
  <c r="K9" i="3"/>
  <c r="C8" i="4"/>
  <c r="K34" i="3"/>
  <c r="I33" i="4"/>
  <c r="I21" i="4"/>
  <c r="C7" i="4"/>
  <c r="K21" i="3"/>
  <c r="J33" i="4"/>
  <c r="E7" i="3"/>
  <c r="E11" i="3" s="1"/>
  <c r="F11" i="4" s="1"/>
  <c r="F32" i="3"/>
  <c r="E36" i="3"/>
  <c r="F22" i="4" s="1"/>
  <c r="F34" i="4" s="1"/>
  <c r="F19" i="3"/>
  <c r="F20" i="2"/>
  <c r="D24" i="3"/>
  <c r="D37" i="3" s="1"/>
  <c r="H23" i="3"/>
  <c r="F10" i="2"/>
  <c r="C11" i="3"/>
  <c r="F12" i="3" s="1"/>
  <c r="I86" i="5" l="1"/>
  <c r="I72" i="5"/>
  <c r="I79" i="5"/>
  <c r="C35" i="5"/>
  <c r="F28" i="5"/>
  <c r="J19" i="3"/>
  <c r="K19" i="3" s="1"/>
  <c r="I11" i="3"/>
  <c r="J11" i="4" s="1"/>
  <c r="H11" i="4" s="1"/>
  <c r="K7" i="2"/>
  <c r="C28" i="5" s="1"/>
  <c r="G11" i="3"/>
  <c r="J12" i="3" s="1"/>
  <c r="G12" i="3" s="1"/>
  <c r="J10" i="2"/>
  <c r="K10" i="2" s="1"/>
  <c r="L7" i="3"/>
  <c r="M19" i="3"/>
  <c r="L32" i="3"/>
  <c r="M32" i="3" s="1"/>
  <c r="J11" i="3"/>
  <c r="K8" i="3"/>
  <c r="K7" i="4"/>
  <c r="K10" i="4" s="1"/>
  <c r="G7" i="4"/>
  <c r="M7" i="4"/>
  <c r="C10" i="4"/>
  <c r="G11" i="4" s="1"/>
  <c r="C19" i="4"/>
  <c r="C31" i="4" s="1"/>
  <c r="M8" i="4"/>
  <c r="G8" i="4"/>
  <c r="L8" i="4" s="1"/>
  <c r="C20" i="3"/>
  <c r="C33" i="3" s="1"/>
  <c r="F22" i="2"/>
  <c r="J32" i="3"/>
  <c r="K32" i="3" s="1"/>
  <c r="C86" i="5" s="1"/>
  <c r="I36" i="3"/>
  <c r="J22" i="4" s="1"/>
  <c r="J34" i="4" s="1"/>
  <c r="F7" i="3"/>
  <c r="H24" i="3"/>
  <c r="H37" i="3" s="1"/>
  <c r="J20" i="2"/>
  <c r="C12" i="3"/>
  <c r="F107" i="5" l="1"/>
  <c r="C79" i="5"/>
  <c r="F72" i="5"/>
  <c r="L12" i="3"/>
  <c r="M19" i="2"/>
  <c r="L7" i="4"/>
  <c r="G10" i="4"/>
  <c r="L10" i="4" s="1"/>
  <c r="G19" i="4"/>
  <c r="L19" i="4" s="1"/>
  <c r="M19" i="4"/>
  <c r="N19" i="4" s="1"/>
  <c r="C11" i="4"/>
  <c r="M11" i="4"/>
  <c r="G20" i="3"/>
  <c r="J22" i="2"/>
  <c r="K22" i="2" s="1"/>
  <c r="K7" i="3"/>
  <c r="F11" i="3"/>
  <c r="K11" i="3" s="1"/>
  <c r="F20" i="3"/>
  <c r="C23" i="3"/>
  <c r="F24" i="3" s="1"/>
  <c r="C24" i="3" s="1"/>
  <c r="K20" i="2"/>
  <c r="C107" i="5" l="1"/>
  <c r="F114" i="5"/>
  <c r="L20" i="3"/>
  <c r="M20" i="3" s="1"/>
  <c r="G33" i="3"/>
  <c r="L33" i="3" s="1"/>
  <c r="C72" i="5"/>
  <c r="M20" i="2"/>
  <c r="F35" i="5"/>
  <c r="G31" i="4"/>
  <c r="L31" i="4" s="1"/>
  <c r="M31" i="4"/>
  <c r="N31" i="4" s="1"/>
  <c r="C36" i="3"/>
  <c r="F37" i="3" s="1"/>
  <c r="C37" i="3" s="1"/>
  <c r="F33" i="3"/>
  <c r="C18" i="4" s="1"/>
  <c r="C30" i="4" s="1"/>
  <c r="F23" i="3"/>
  <c r="J20" i="3"/>
  <c r="G23" i="3"/>
  <c r="J24" i="3" s="1"/>
  <c r="F121" i="5" l="1"/>
  <c r="M33" i="3"/>
  <c r="C21" i="4"/>
  <c r="G22" i="4" s="1"/>
  <c r="C22" i="4" s="1"/>
  <c r="G18" i="4"/>
  <c r="G21" i="4" s="1"/>
  <c r="K20" i="3"/>
  <c r="G30" i="4"/>
  <c r="C33" i="4"/>
  <c r="G34" i="4" s="1"/>
  <c r="J33" i="3"/>
  <c r="G36" i="3"/>
  <c r="J37" i="3" s="1"/>
  <c r="G37" i="3" s="1"/>
  <c r="F36" i="3"/>
  <c r="J23" i="3"/>
  <c r="K23" i="3" s="1"/>
  <c r="G24" i="3"/>
  <c r="L24" i="3"/>
  <c r="F79" i="5" l="1"/>
  <c r="J36" i="3"/>
  <c r="K36" i="3" s="1"/>
  <c r="H18" i="4"/>
  <c r="K33" i="3"/>
  <c r="C34" i="4"/>
  <c r="G33" i="4"/>
  <c r="L37" i="3"/>
  <c r="M37" i="3" s="1"/>
  <c r="M18" i="4" l="1"/>
  <c r="N18" i="4" s="1"/>
  <c r="H30" i="4"/>
  <c r="H21" i="4"/>
  <c r="K22" i="4" s="1"/>
  <c r="H22" i="4" s="1"/>
  <c r="F86" i="5"/>
  <c r="H33" i="4"/>
  <c r="K34" i="4" s="1"/>
  <c r="K18" i="4"/>
  <c r="K21" i="4" s="1"/>
  <c r="L21" i="4" s="1"/>
  <c r="K30" i="4"/>
  <c r="M22" i="4" l="1"/>
  <c r="M30" i="4"/>
  <c r="N30" i="4" s="1"/>
  <c r="L18" i="4"/>
  <c r="H34" i="4"/>
  <c r="M34" i="4"/>
  <c r="K33" i="4"/>
  <c r="L33" i="4" s="1"/>
  <c r="L30" i="4"/>
  <c r="C121" i="5" l="1"/>
  <c r="C114" i="5"/>
</calcChain>
</file>

<file path=xl/comments1.xml><?xml version="1.0" encoding="utf-8"?>
<comments xmlns="http://schemas.openxmlformats.org/spreadsheetml/2006/main">
  <authors>
    <author>poramora sepo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Valor amortizable ($500.000 - $150.000 = $350.000) / vida útil (7 años)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$ 500.000 * 1,09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$ 50.000 * 1,09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 xml:space="preserve">$ 450.000 * 1,09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$ 850.000 * 1,055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$ 85.000 * 1,055 
o $ 896.750 / 10
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 xml:space="preserve">$ 765.000 * 1,055
</t>
        </r>
      </text>
    </comment>
  </commentList>
</comments>
</file>

<file path=xl/comments2.xml><?xml version="1.0" encoding="utf-8"?>
<comments xmlns="http://schemas.openxmlformats.org/spreadsheetml/2006/main">
  <authors>
    <author>poramora sepo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Amort. valor original ($85.000) + Amort. mejora ($180.000 / 9 años = $ 20.000)
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$ 89.675 + $ 20.000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valor al inicio en moneda homogénea 2017, multiplicado por coef I/C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valor al inicio en moneda homogénea 2017, multiplicado por coef I/C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totales del ejercicio anterior, en moneda homogenea 2017, multiplicado por coef I/C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$ 180.000 * 1,245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$ 89.675 * 1,47 + $ 20.000 * 1,245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totales del ejercicio anterior, en moneda homogenea 2017, multiplicado por coef I/C</t>
        </r>
      </text>
    </comment>
  </commentList>
</comments>
</file>

<file path=xl/comments3.xml><?xml version="1.0" encoding="utf-8"?>
<comments xmlns="http://schemas.openxmlformats.org/spreadsheetml/2006/main">
  <authors>
    <author>poramora sepo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Amort. valor original ($85.000) + Amort. mejora ($180.000 / 9 años = $ 20.000)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$ 1.350.000 - $ 800.000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coincide con los valores de "ejercicio corriente" del Anexo BU - 2018 (en MH del 2018)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valor al inicio en moneda homogénea 2018, multiplicado por coef I/C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valor al inicio en moneda homogénea 2018, multiplicado por coef I/C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totales del ejercicio anterior, en moneda homogenea 2018, multiplicado por coef I/C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$ 156.722,25 * 1,54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$ 1.350.000 - $ 1.232.000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totales del ejercicio anterior, en moneda homogenea 2018, multiplicado por coef I/C</t>
        </r>
      </text>
    </comment>
  </commentList>
</comments>
</file>

<file path=xl/sharedStrings.xml><?xml version="1.0" encoding="utf-8"?>
<sst xmlns="http://schemas.openxmlformats.org/spreadsheetml/2006/main" count="257" uniqueCount="69">
  <si>
    <t>Altas</t>
  </si>
  <si>
    <t>Bajas</t>
  </si>
  <si>
    <t>Valor residual</t>
  </si>
  <si>
    <t>ANEXO DE BIENES DE USO AL 31/07/2017 - moneda histórica</t>
  </si>
  <si>
    <t>Maquinarias</t>
  </si>
  <si>
    <t>Ej corriente</t>
  </si>
  <si>
    <t>Inicio</t>
  </si>
  <si>
    <t>Cierre</t>
  </si>
  <si>
    <t>Valor de Origen</t>
  </si>
  <si>
    <t xml:space="preserve">Amortizaciones </t>
  </si>
  <si>
    <t>Acum al inicio</t>
  </si>
  <si>
    <t>del Ejercicio</t>
  </si>
  <si>
    <t>de las Bajas</t>
  </si>
  <si>
    <t>Acum al cierre</t>
  </si>
  <si>
    <t>Rubro</t>
  </si>
  <si>
    <t>Total (ej corriente)</t>
  </si>
  <si>
    <t>Total (ej anterior)</t>
  </si>
  <si>
    <t>Ej anterior</t>
  </si>
  <si>
    <t>ANEXO DE BIENES DE USO AL 31/07/2017 - moneda homogénea</t>
  </si>
  <si>
    <t>ANEXO DE BIENES DE USO AL 31/07/2018 - moneda histórica</t>
  </si>
  <si>
    <t xml:space="preserve"> - </t>
  </si>
  <si>
    <t>ANEXO DE BIENES DE USO AL 31/07/2018 - moneda homogénea 2017</t>
  </si>
  <si>
    <t>ANEXO DE BIENES DE USO AL 31/07/2018 - moneda homogénea 2018</t>
  </si>
  <si>
    <t>rodado</t>
  </si>
  <si>
    <t>valor rezago</t>
  </si>
  <si>
    <t>VU estimada</t>
  </si>
  <si>
    <t>valor amortizable</t>
  </si>
  <si>
    <t>maquinaria</t>
  </si>
  <si>
    <t>Rodados</t>
  </si>
  <si>
    <t>mejora</t>
  </si>
  <si>
    <t>amortizacion original</t>
  </si>
  <si>
    <t>amortizacion mejora</t>
  </si>
  <si>
    <t>terreno</t>
  </si>
  <si>
    <t>Terreno</t>
  </si>
  <si>
    <t>ANEXO DE BIENES DE USO AL 31/07/2019 - moneda histórica</t>
  </si>
  <si>
    <t>Revaluacion</t>
  </si>
  <si>
    <t>ANEXO DE BIENES DE USO AL 31/07/2019 - moneda homogénea 2018</t>
  </si>
  <si>
    <t>ANEXO DE BIENES DE USO AL 31/07/2019 - moneda homogénea 2019</t>
  </si>
  <si>
    <t>historica</t>
  </si>
  <si>
    <t>rodados</t>
  </si>
  <si>
    <t>am ac</t>
  </si>
  <si>
    <t>maquinarias</t>
  </si>
  <si>
    <t>reexpresada</t>
  </si>
  <si>
    <t>reexpresada - MH 2017</t>
  </si>
  <si>
    <t>reexpresada - MH 2018</t>
  </si>
  <si>
    <t>medicion al cierre 2017</t>
  </si>
  <si>
    <t>medicion al cierre 2018</t>
  </si>
  <si>
    <t>medicion al cierre 2019</t>
  </si>
  <si>
    <t>reexpresada - MH 2019</t>
  </si>
  <si>
    <t>En enero 2017 se compra un rodado por $ 500.000 – valor de rezago: $ 150.000 – vida útil estimada: 7 años</t>
  </si>
  <si>
    <t>En abril de 2017 se compra una maquinaria por $ 850.000 – Sin valor de rezago – vida útil estimada: 10 años</t>
  </si>
  <si>
    <t>Cierre de ejercicio: 31/07/2017</t>
  </si>
  <si>
    <t>Fecha de compra</t>
  </si>
  <si>
    <t>Coef. de reexpresión</t>
  </si>
  <si>
    <t>Cierre de ejercicio: 31/07/2018</t>
  </si>
  <si>
    <t xml:space="preserve">En diciembre 2017 se vende el rodado por $ 520.000 </t>
  </si>
  <si>
    <t>En febrero 2018 se efectúa una inversión por $ 180.000 para modernizar la tecnología que utiliza la maquinaria incrementándose su capacidad operativa y eficiencia de producción. No se ve modificada la vida útil estimada.</t>
  </si>
  <si>
    <t>En julio 2018 se compra un terreno por $ 800.000</t>
  </si>
  <si>
    <t>Coef. de reexpresión I/C</t>
  </si>
  <si>
    <t>Cierre de ejercicio: 31/07/2019</t>
  </si>
  <si>
    <t>el rodado se vendio, por lo que debe quedar en cero</t>
  </si>
  <si>
    <t xml:space="preserve">Al cierre de ejercicio se decide revaluar los terrenos. </t>
  </si>
  <si>
    <t>Valor razonable del terreno al cierre: $ 1.350.000</t>
  </si>
  <si>
    <t>Inflación IPIM-IPC ejercicio 2019: 54%</t>
  </si>
  <si>
    <t>Inflación IPIM-IPC ejercicio 2018: 47%</t>
  </si>
  <si>
    <t>Inflación IPIM-IPC diciembre 2017 a julio 2018: 36,5%</t>
  </si>
  <si>
    <t>Inflación IPIM-IPC febrero a julio 2018: 24,5%</t>
  </si>
  <si>
    <t>Inflación IPIM-IPC de enero a julio 2017: 9%</t>
  </si>
  <si>
    <t>Inflación IPIM-IPC de abril a julio 2017: 5,5%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</si>
</sst>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mm/yyyy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404040"/>
      <name val="Calibri"/>
      <family val="2"/>
      <scheme val="minor"/>
    </font>
    <font>
      <b/>
      <u/>
      <sz val="11"/>
      <color rgb="FF40404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2" xfId="0" applyBorder="1"/>
    <xf numFmtId="4" fontId="0" fillId="0" borderId="4" xfId="0" applyNumberFormat="1" applyBorder="1"/>
    <xf numFmtId="0" fontId="0" fillId="0" borderId="4" xfId="0" applyBorder="1"/>
    <xf numFmtId="0" fontId="2" fillId="0" borderId="1" xfId="0" applyFont="1" applyBorder="1"/>
    <xf numFmtId="0" fontId="0" fillId="0" borderId="3" xfId="0" applyBorder="1"/>
    <xf numFmtId="4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5" fillId="0" borderId="0" xfId="0" applyNumberFormat="1" applyFont="1"/>
    <xf numFmtId="0" fontId="4" fillId="0" borderId="0" xfId="0" applyFont="1"/>
    <xf numFmtId="4" fontId="0" fillId="0" borderId="5" xfId="0" applyNumberFormat="1" applyBorder="1"/>
    <xf numFmtId="4" fontId="1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4" fontId="0" fillId="3" borderId="4" xfId="0" applyNumberFormat="1" applyFill="1" applyBorder="1"/>
    <xf numFmtId="0" fontId="6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2"/>
  <sheetViews>
    <sheetView tabSelected="1" topLeftCell="A115" workbookViewId="0">
      <selection activeCell="A115" sqref="A115"/>
    </sheetView>
  </sheetViews>
  <sheetFormatPr baseColWidth="10" defaultRowHeight="15" outlineLevelRow="1" x14ac:dyDescent="0.25"/>
  <cols>
    <col min="3" max="3" width="11.7109375" bestFit="1" customWidth="1"/>
    <col min="6" max="6" width="11.7109375" bestFit="1" customWidth="1"/>
  </cols>
  <sheetData>
    <row r="2" spans="1:8" x14ac:dyDescent="0.25">
      <c r="A2" s="18" t="s">
        <v>51</v>
      </c>
    </row>
    <row r="4" spans="1:8" outlineLevel="1" x14ac:dyDescent="0.25">
      <c r="A4" s="17" t="s">
        <v>49</v>
      </c>
    </row>
    <row r="5" spans="1:8" outlineLevel="1" x14ac:dyDescent="0.25">
      <c r="A5" s="17"/>
    </row>
    <row r="6" spans="1:8" outlineLevel="1" x14ac:dyDescent="0.25">
      <c r="A6" s="17" t="s">
        <v>50</v>
      </c>
    </row>
    <row r="7" spans="1:8" outlineLevel="1" x14ac:dyDescent="0.25">
      <c r="A7" s="17"/>
    </row>
    <row r="8" spans="1:8" outlineLevel="1" x14ac:dyDescent="0.25">
      <c r="A8" s="17" t="s">
        <v>67</v>
      </c>
    </row>
    <row r="9" spans="1:8" outlineLevel="1" x14ac:dyDescent="0.25">
      <c r="A9" s="17"/>
    </row>
    <row r="10" spans="1:8" outlineLevel="1" x14ac:dyDescent="0.25">
      <c r="A10" s="17" t="s">
        <v>68</v>
      </c>
    </row>
    <row r="11" spans="1:8" outlineLevel="1" x14ac:dyDescent="0.25"/>
    <row r="12" spans="1:8" outlineLevel="1" x14ac:dyDescent="0.25">
      <c r="A12" t="s">
        <v>52</v>
      </c>
      <c r="B12" s="1"/>
      <c r="C12" s="19" t="s">
        <v>23</v>
      </c>
      <c r="D12" s="2">
        <v>500000</v>
      </c>
      <c r="F12" t="s">
        <v>26</v>
      </c>
      <c r="H12" s="2">
        <f>+D12-D13</f>
        <v>350000</v>
      </c>
    </row>
    <row r="13" spans="1:8" outlineLevel="1" x14ac:dyDescent="0.25">
      <c r="A13" s="20">
        <v>42736</v>
      </c>
      <c r="C13" s="19" t="s">
        <v>24</v>
      </c>
      <c r="D13" s="2">
        <v>150000</v>
      </c>
      <c r="F13" t="s">
        <v>30</v>
      </c>
      <c r="H13" s="2">
        <f>+H12/D14</f>
        <v>50000</v>
      </c>
    </row>
    <row r="14" spans="1:8" outlineLevel="1" x14ac:dyDescent="0.25">
      <c r="A14" t="s">
        <v>53</v>
      </c>
      <c r="C14" s="19" t="s">
        <v>25</v>
      </c>
      <c r="D14">
        <v>7</v>
      </c>
    </row>
    <row r="15" spans="1:8" outlineLevel="1" x14ac:dyDescent="0.25">
      <c r="A15">
        <v>1.0900000000000001</v>
      </c>
    </row>
    <row r="16" spans="1:8" outlineLevel="1" x14ac:dyDescent="0.25"/>
    <row r="17" spans="1:8" outlineLevel="1" x14ac:dyDescent="0.25">
      <c r="A17" t="s">
        <v>52</v>
      </c>
      <c r="B17" s="1"/>
      <c r="C17" s="19" t="s">
        <v>27</v>
      </c>
      <c r="D17" s="2">
        <v>850000</v>
      </c>
      <c r="F17" t="s">
        <v>26</v>
      </c>
      <c r="H17" s="2">
        <f>+D17-D18</f>
        <v>850000</v>
      </c>
    </row>
    <row r="18" spans="1:8" outlineLevel="1" x14ac:dyDescent="0.25">
      <c r="A18" s="20">
        <v>42826</v>
      </c>
      <c r="B18" s="1"/>
      <c r="C18" s="19" t="s">
        <v>24</v>
      </c>
      <c r="D18" s="2">
        <v>0</v>
      </c>
      <c r="F18" t="s">
        <v>30</v>
      </c>
      <c r="H18" s="2">
        <f>+H17/D19</f>
        <v>85000</v>
      </c>
    </row>
    <row r="19" spans="1:8" outlineLevel="1" x14ac:dyDescent="0.25">
      <c r="A19" t="s">
        <v>53</v>
      </c>
      <c r="B19" s="1"/>
      <c r="C19" s="19" t="s">
        <v>25</v>
      </c>
      <c r="D19">
        <v>10</v>
      </c>
    </row>
    <row r="20" spans="1:8" outlineLevel="1" x14ac:dyDescent="0.25">
      <c r="A20">
        <v>1.0549999999999999</v>
      </c>
    </row>
    <row r="21" spans="1:8" outlineLevel="1" x14ac:dyDescent="0.25"/>
    <row r="22" spans="1:8" outlineLevel="1" x14ac:dyDescent="0.25">
      <c r="A22" s="14" t="s">
        <v>45</v>
      </c>
      <c r="B22" s="14"/>
    </row>
    <row r="23" spans="1:8" outlineLevel="1" x14ac:dyDescent="0.25">
      <c r="A23" s="3" t="s">
        <v>38</v>
      </c>
      <c r="B23" s="3"/>
    </row>
    <row r="24" spans="1:8" outlineLevel="1" x14ac:dyDescent="0.25"/>
    <row r="25" spans="1:8" outlineLevel="1" x14ac:dyDescent="0.25">
      <c r="B25" t="s">
        <v>39</v>
      </c>
      <c r="C25" s="2">
        <f>+D12</f>
        <v>500000</v>
      </c>
      <c r="E25" t="s">
        <v>41</v>
      </c>
      <c r="F25" s="2">
        <f>+D17</f>
        <v>850000</v>
      </c>
    </row>
    <row r="26" spans="1:8" outlineLevel="1" x14ac:dyDescent="0.25">
      <c r="B26" t="s">
        <v>40</v>
      </c>
      <c r="C26" s="15">
        <f>-H13</f>
        <v>-50000</v>
      </c>
      <c r="E26" t="str">
        <f>+B26</f>
        <v>am ac</v>
      </c>
      <c r="F26" s="15">
        <f>-H18</f>
        <v>-85000</v>
      </c>
    </row>
    <row r="27" spans="1:8" outlineLevel="1" x14ac:dyDescent="0.25">
      <c r="C27" s="2">
        <f>+SUM(C25:C26)</f>
        <v>450000</v>
      </c>
      <c r="F27" s="2">
        <f>+SUM(F25:F26)</f>
        <v>765000</v>
      </c>
    </row>
    <row r="28" spans="1:8" outlineLevel="1" x14ac:dyDescent="0.25">
      <c r="C28" s="16">
        <f>+C27-'anexo BU - 2017'!K7</f>
        <v>0</v>
      </c>
      <c r="F28" s="16">
        <f>+F27-'anexo BU - 2017'!K8</f>
        <v>0</v>
      </c>
    </row>
    <row r="29" spans="1:8" outlineLevel="1" x14ac:dyDescent="0.25">
      <c r="C29" s="2"/>
    </row>
    <row r="30" spans="1:8" outlineLevel="1" x14ac:dyDescent="0.25">
      <c r="A30" s="3" t="s">
        <v>42</v>
      </c>
      <c r="B30" s="3"/>
    </row>
    <row r="31" spans="1:8" outlineLevel="1" x14ac:dyDescent="0.25"/>
    <row r="32" spans="1:8" outlineLevel="1" x14ac:dyDescent="0.25">
      <c r="B32" t="s">
        <v>39</v>
      </c>
      <c r="C32" s="2">
        <f>+C25*A15</f>
        <v>545000</v>
      </c>
      <c r="E32" t="s">
        <v>41</v>
      </c>
      <c r="F32" s="2">
        <f>+F25*A20</f>
        <v>896750</v>
      </c>
    </row>
    <row r="33" spans="1:14" outlineLevel="1" x14ac:dyDescent="0.25">
      <c r="B33" t="s">
        <v>40</v>
      </c>
      <c r="C33" s="15">
        <f>+C26*A15</f>
        <v>-54500.000000000007</v>
      </c>
      <c r="E33" t="str">
        <f>+B33</f>
        <v>am ac</v>
      </c>
      <c r="F33" s="15">
        <f>+F26*A20</f>
        <v>-89675</v>
      </c>
    </row>
    <row r="34" spans="1:14" outlineLevel="1" x14ac:dyDescent="0.25">
      <c r="C34" s="2">
        <f>+SUM(C32:C33)</f>
        <v>490500</v>
      </c>
      <c r="F34" s="2">
        <f>+SUM(F32:F33)</f>
        <v>807075</v>
      </c>
    </row>
    <row r="35" spans="1:14" outlineLevel="1" x14ac:dyDescent="0.25">
      <c r="C35" s="16">
        <f>+C34-'anexo BU - 2017'!K19</f>
        <v>0</v>
      </c>
      <c r="F35" s="16">
        <f>+F34-'anexo BU - 2017'!K20</f>
        <v>0</v>
      </c>
    </row>
    <row r="36" spans="1:14" outlineLevel="1" x14ac:dyDescent="0.25"/>
    <row r="39" spans="1:14" x14ac:dyDescent="0.25">
      <c r="A39" s="18" t="s">
        <v>54</v>
      </c>
    </row>
    <row r="41" spans="1:14" outlineLevel="1" x14ac:dyDescent="0.25">
      <c r="A41" s="17" t="s">
        <v>55</v>
      </c>
    </row>
    <row r="42" spans="1:14" outlineLevel="1" x14ac:dyDescent="0.25">
      <c r="A42" s="17"/>
    </row>
    <row r="43" spans="1:14" ht="32.25" customHeight="1" outlineLevel="1" x14ac:dyDescent="0.25">
      <c r="A43" s="22" t="s">
        <v>56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4" outlineLevel="1" x14ac:dyDescent="0.25">
      <c r="A44" s="17"/>
    </row>
    <row r="45" spans="1:14" outlineLevel="1" x14ac:dyDescent="0.25">
      <c r="A45" s="17" t="s">
        <v>57</v>
      </c>
    </row>
    <row r="46" spans="1:14" outlineLevel="1" x14ac:dyDescent="0.25">
      <c r="A46" s="17"/>
    </row>
    <row r="47" spans="1:14" outlineLevel="1" x14ac:dyDescent="0.25">
      <c r="A47" s="17" t="s">
        <v>64</v>
      </c>
    </row>
    <row r="48" spans="1:14" outlineLevel="1" x14ac:dyDescent="0.25">
      <c r="A48" s="17"/>
    </row>
    <row r="49" spans="1:8" outlineLevel="1" x14ac:dyDescent="0.25">
      <c r="A49" s="17" t="s">
        <v>65</v>
      </c>
    </row>
    <row r="50" spans="1:8" outlineLevel="1" x14ac:dyDescent="0.25">
      <c r="A50" s="17"/>
    </row>
    <row r="51" spans="1:8" outlineLevel="1" x14ac:dyDescent="0.25">
      <c r="A51" s="17" t="s">
        <v>66</v>
      </c>
    </row>
    <row r="52" spans="1:8" outlineLevel="1" x14ac:dyDescent="0.25"/>
    <row r="53" spans="1:8" outlineLevel="1" x14ac:dyDescent="0.25">
      <c r="A53" t="s">
        <v>58</v>
      </c>
    </row>
    <row r="54" spans="1:8" outlineLevel="1" x14ac:dyDescent="0.25">
      <c r="A54">
        <v>1.47</v>
      </c>
    </row>
    <row r="55" spans="1:8" outlineLevel="1" x14ac:dyDescent="0.25"/>
    <row r="56" spans="1:8" outlineLevel="1" x14ac:dyDescent="0.25">
      <c r="A56" t="s">
        <v>52</v>
      </c>
      <c r="B56" s="1"/>
      <c r="C56" s="19" t="s">
        <v>27</v>
      </c>
      <c r="D56" s="2">
        <f>+D17</f>
        <v>850000</v>
      </c>
      <c r="F56" t="s">
        <v>30</v>
      </c>
      <c r="H56" s="2">
        <f>-F26</f>
        <v>85000</v>
      </c>
    </row>
    <row r="57" spans="1:8" outlineLevel="1" x14ac:dyDescent="0.25">
      <c r="A57" s="20">
        <v>43132</v>
      </c>
      <c r="C57" s="19" t="s">
        <v>29</v>
      </c>
      <c r="D57" s="2">
        <v>180000</v>
      </c>
      <c r="F57" t="s">
        <v>31</v>
      </c>
      <c r="H57" s="2">
        <f>+D57/D58</f>
        <v>20000</v>
      </c>
    </row>
    <row r="58" spans="1:8" outlineLevel="1" x14ac:dyDescent="0.25">
      <c r="A58" t="s">
        <v>53</v>
      </c>
      <c r="C58" s="19" t="s">
        <v>25</v>
      </c>
      <c r="D58">
        <v>9</v>
      </c>
    </row>
    <row r="59" spans="1:8" outlineLevel="1" x14ac:dyDescent="0.25">
      <c r="A59">
        <v>1.2450000000000001</v>
      </c>
    </row>
    <row r="60" spans="1:8" outlineLevel="1" x14ac:dyDescent="0.25"/>
    <row r="61" spans="1:8" outlineLevel="1" x14ac:dyDescent="0.25">
      <c r="A61" t="s">
        <v>52</v>
      </c>
      <c r="B61" s="1"/>
      <c r="C61" s="19" t="s">
        <v>32</v>
      </c>
      <c r="D61" s="2">
        <v>800000</v>
      </c>
      <c r="H61" s="2"/>
    </row>
    <row r="62" spans="1:8" outlineLevel="1" x14ac:dyDescent="0.25">
      <c r="A62" s="20">
        <v>43282</v>
      </c>
      <c r="B62" s="1"/>
      <c r="C62" s="19"/>
      <c r="D62" s="2"/>
      <c r="H62" s="2"/>
    </row>
    <row r="63" spans="1:8" outlineLevel="1" x14ac:dyDescent="0.25">
      <c r="A63" t="s">
        <v>53</v>
      </c>
      <c r="B63" s="1"/>
      <c r="C63" s="19"/>
    </row>
    <row r="64" spans="1:8" outlineLevel="1" x14ac:dyDescent="0.25">
      <c r="A64">
        <v>1</v>
      </c>
    </row>
    <row r="65" spans="1:9" outlineLevel="1" x14ac:dyDescent="0.25"/>
    <row r="66" spans="1:9" outlineLevel="1" x14ac:dyDescent="0.25">
      <c r="A66" s="14" t="s">
        <v>46</v>
      </c>
      <c r="B66" s="14"/>
    </row>
    <row r="67" spans="1:9" outlineLevel="1" x14ac:dyDescent="0.25">
      <c r="A67" s="3" t="s">
        <v>38</v>
      </c>
      <c r="B67" s="3"/>
    </row>
    <row r="68" spans="1:9" outlineLevel="1" x14ac:dyDescent="0.25"/>
    <row r="69" spans="1:9" outlineLevel="1" x14ac:dyDescent="0.25">
      <c r="B69" t="s">
        <v>39</v>
      </c>
      <c r="C69" s="2">
        <v>0</v>
      </c>
      <c r="E69" t="s">
        <v>41</v>
      </c>
      <c r="F69" s="2">
        <f>+F25+D57</f>
        <v>1030000</v>
      </c>
      <c r="H69" t="s">
        <v>32</v>
      </c>
      <c r="I69" s="2">
        <f>+D61</f>
        <v>800000</v>
      </c>
    </row>
    <row r="70" spans="1:9" outlineLevel="1" x14ac:dyDescent="0.25">
      <c r="B70" t="s">
        <v>40</v>
      </c>
      <c r="C70" s="15">
        <v>0</v>
      </c>
      <c r="E70" t="str">
        <f>+B70</f>
        <v>am ac</v>
      </c>
      <c r="F70" s="15">
        <f>+F26*2-H57</f>
        <v>-190000</v>
      </c>
      <c r="H70" t="str">
        <f>+E70</f>
        <v>am ac</v>
      </c>
      <c r="I70" s="15">
        <v>0</v>
      </c>
    </row>
    <row r="71" spans="1:9" outlineLevel="1" x14ac:dyDescent="0.25">
      <c r="C71" s="2">
        <f>+SUM(C69:C70)</f>
        <v>0</v>
      </c>
      <c r="F71" s="2">
        <f>+SUM(F69:F70)</f>
        <v>840000</v>
      </c>
      <c r="I71" s="2">
        <f>+I69-I70</f>
        <v>800000</v>
      </c>
    </row>
    <row r="72" spans="1:9" outlineLevel="1" x14ac:dyDescent="0.25">
      <c r="C72" s="16">
        <f>+C71-'anexo BU - 2018'!K7</f>
        <v>0</v>
      </c>
      <c r="F72" s="16">
        <f>+F71-'anexo BU - 2018'!K8</f>
        <v>0</v>
      </c>
      <c r="I72" s="16">
        <f>+I71-'anexo BU - 2018'!K9</f>
        <v>0</v>
      </c>
    </row>
    <row r="73" spans="1:9" outlineLevel="1" x14ac:dyDescent="0.25">
      <c r="C73" s="2"/>
    </row>
    <row r="74" spans="1:9" outlineLevel="1" x14ac:dyDescent="0.25">
      <c r="A74" s="3" t="s">
        <v>43</v>
      </c>
      <c r="B74" s="3"/>
    </row>
    <row r="75" spans="1:9" outlineLevel="1" x14ac:dyDescent="0.25"/>
    <row r="76" spans="1:9" outlineLevel="1" x14ac:dyDescent="0.25">
      <c r="B76" t="s">
        <v>39</v>
      </c>
      <c r="C76" s="2">
        <f>+C69</f>
        <v>0</v>
      </c>
      <c r="E76" t="s">
        <v>41</v>
      </c>
      <c r="F76" s="2">
        <f>+F32+D57</f>
        <v>1076750</v>
      </c>
      <c r="H76" t="s">
        <v>32</v>
      </c>
      <c r="I76" s="2">
        <f>+I69</f>
        <v>800000</v>
      </c>
    </row>
    <row r="77" spans="1:9" outlineLevel="1" x14ac:dyDescent="0.25">
      <c r="B77" t="s">
        <v>40</v>
      </c>
      <c r="C77" s="15">
        <f>+C70</f>
        <v>0</v>
      </c>
      <c r="E77" t="str">
        <f>+B77</f>
        <v>am ac</v>
      </c>
      <c r="F77" s="15">
        <f>+F33*2-H57</f>
        <v>-199350</v>
      </c>
      <c r="H77" t="str">
        <f>+E77</f>
        <v>am ac</v>
      </c>
      <c r="I77" s="15">
        <v>0</v>
      </c>
    </row>
    <row r="78" spans="1:9" outlineLevel="1" x14ac:dyDescent="0.25">
      <c r="C78" s="2">
        <f>+SUM(C76:C77)</f>
        <v>0</v>
      </c>
      <c r="F78" s="2">
        <f>+SUM(F76:F77)</f>
        <v>877400</v>
      </c>
      <c r="I78" s="2">
        <f>+I76-I77</f>
        <v>800000</v>
      </c>
    </row>
    <row r="79" spans="1:9" outlineLevel="1" x14ac:dyDescent="0.25">
      <c r="C79" s="16">
        <f>+C78-'anexo BU - 2018'!K19</f>
        <v>0</v>
      </c>
      <c r="F79" s="16">
        <f>+F78-'anexo BU - 2018'!K20</f>
        <v>0</v>
      </c>
      <c r="I79" s="16">
        <f>+I78-'anexo BU - 2018'!K21</f>
        <v>0</v>
      </c>
    </row>
    <row r="80" spans="1:9" outlineLevel="1" x14ac:dyDescent="0.25"/>
    <row r="81" spans="1:9" outlineLevel="1" x14ac:dyDescent="0.25">
      <c r="A81" s="3" t="s">
        <v>44</v>
      </c>
      <c r="B81" s="3"/>
    </row>
    <row r="82" spans="1:9" outlineLevel="1" x14ac:dyDescent="0.25"/>
    <row r="83" spans="1:9" outlineLevel="1" x14ac:dyDescent="0.25">
      <c r="B83" t="s">
        <v>39</v>
      </c>
      <c r="C83" s="2">
        <f>+C76</f>
        <v>0</v>
      </c>
      <c r="E83" t="s">
        <v>41</v>
      </c>
      <c r="F83" s="2">
        <f>+F32*A54+D57*A59</f>
        <v>1542322.5</v>
      </c>
      <c r="H83" t="s">
        <v>32</v>
      </c>
      <c r="I83" s="2">
        <f>+D61*A64</f>
        <v>800000</v>
      </c>
    </row>
    <row r="84" spans="1:9" outlineLevel="1" x14ac:dyDescent="0.25">
      <c r="B84" t="s">
        <v>40</v>
      </c>
      <c r="C84" s="15">
        <f>+C77</f>
        <v>0</v>
      </c>
      <c r="E84" t="str">
        <f>+B84</f>
        <v>am ac</v>
      </c>
      <c r="F84" s="15">
        <f>+F33*2*A54-H57*A59</f>
        <v>-288544.5</v>
      </c>
      <c r="H84" t="str">
        <f>+E84</f>
        <v>am ac</v>
      </c>
      <c r="I84" s="15">
        <v>0</v>
      </c>
    </row>
    <row r="85" spans="1:9" outlineLevel="1" x14ac:dyDescent="0.25">
      <c r="C85" s="2">
        <f>+SUM(C83:C84)</f>
        <v>0</v>
      </c>
      <c r="F85" s="2">
        <f>+SUM(F83:F84)</f>
        <v>1253778</v>
      </c>
      <c r="I85" s="2">
        <f>+I83-I84</f>
        <v>800000</v>
      </c>
    </row>
    <row r="86" spans="1:9" outlineLevel="1" x14ac:dyDescent="0.25">
      <c r="C86" s="16">
        <f>+C85-'anexo BU - 2018'!K32</f>
        <v>0</v>
      </c>
      <c r="F86" s="16">
        <f>+F85-'anexo BU - 2018'!K33</f>
        <v>0</v>
      </c>
      <c r="I86" s="16">
        <f>+I85-'anexo BU - 2018'!K34</f>
        <v>0</v>
      </c>
    </row>
    <row r="87" spans="1:9" outlineLevel="1" x14ac:dyDescent="0.25"/>
    <row r="90" spans="1:9" x14ac:dyDescent="0.25">
      <c r="A90" s="18" t="s">
        <v>59</v>
      </c>
    </row>
    <row r="92" spans="1:9" outlineLevel="1" x14ac:dyDescent="0.25">
      <c r="A92" s="17" t="s">
        <v>61</v>
      </c>
    </row>
    <row r="93" spans="1:9" outlineLevel="1" x14ac:dyDescent="0.25">
      <c r="A93" s="17"/>
    </row>
    <row r="94" spans="1:9" outlineLevel="1" x14ac:dyDescent="0.25">
      <c r="A94" s="17" t="s">
        <v>62</v>
      </c>
    </row>
    <row r="95" spans="1:9" outlineLevel="1" x14ac:dyDescent="0.25">
      <c r="A95" s="17"/>
    </row>
    <row r="96" spans="1:9" outlineLevel="1" x14ac:dyDescent="0.25">
      <c r="A96" s="17" t="s">
        <v>63</v>
      </c>
    </row>
    <row r="97" spans="1:6" outlineLevel="1" x14ac:dyDescent="0.25"/>
    <row r="98" spans="1:6" outlineLevel="1" x14ac:dyDescent="0.25">
      <c r="A98" t="s">
        <v>58</v>
      </c>
    </row>
    <row r="99" spans="1:6" outlineLevel="1" x14ac:dyDescent="0.25">
      <c r="A99">
        <v>1.54</v>
      </c>
    </row>
    <row r="100" spans="1:6" outlineLevel="1" x14ac:dyDescent="0.25"/>
    <row r="101" spans="1:6" outlineLevel="1" x14ac:dyDescent="0.25">
      <c r="A101" s="14" t="s">
        <v>47</v>
      </c>
      <c r="B101" s="14"/>
    </row>
    <row r="102" spans="1:6" outlineLevel="1" x14ac:dyDescent="0.25">
      <c r="A102" s="3" t="s">
        <v>38</v>
      </c>
      <c r="B102" s="3"/>
    </row>
    <row r="103" spans="1:6" outlineLevel="1" x14ac:dyDescent="0.25"/>
    <row r="104" spans="1:6" outlineLevel="1" x14ac:dyDescent="0.25">
      <c r="B104" t="s">
        <v>41</v>
      </c>
      <c r="C104" s="2">
        <f>+F69</f>
        <v>1030000</v>
      </c>
      <c r="E104" t="s">
        <v>32</v>
      </c>
      <c r="F104" s="2">
        <v>1350000</v>
      </c>
    </row>
    <row r="105" spans="1:6" outlineLevel="1" x14ac:dyDescent="0.25">
      <c r="B105" t="s">
        <v>40</v>
      </c>
      <c r="C105" s="15">
        <f>+F26*3-H57*2</f>
        <v>-295000</v>
      </c>
      <c r="E105" t="str">
        <f>+B105</f>
        <v>am ac</v>
      </c>
      <c r="F105" s="15">
        <v>0</v>
      </c>
    </row>
    <row r="106" spans="1:6" outlineLevel="1" x14ac:dyDescent="0.25">
      <c r="C106" s="2">
        <f>+SUM(C104:C105)</f>
        <v>735000</v>
      </c>
      <c r="F106" s="2">
        <f>+SUM(F104:F105)</f>
        <v>1350000</v>
      </c>
    </row>
    <row r="107" spans="1:6" outlineLevel="1" x14ac:dyDescent="0.25">
      <c r="C107" s="16">
        <f>+C106-'anexo BU - 2019'!L7</f>
        <v>0</v>
      </c>
      <c r="F107" s="16">
        <f>+F106-'anexo BU - 2019'!L8</f>
        <v>0</v>
      </c>
    </row>
    <row r="108" spans="1:6" outlineLevel="1" x14ac:dyDescent="0.25"/>
    <row r="109" spans="1:6" outlineLevel="1" x14ac:dyDescent="0.25">
      <c r="A109" s="3" t="s">
        <v>44</v>
      </c>
      <c r="B109" s="3"/>
    </row>
    <row r="110" spans="1:6" outlineLevel="1" x14ac:dyDescent="0.25"/>
    <row r="111" spans="1:6" outlineLevel="1" x14ac:dyDescent="0.25">
      <c r="B111" t="s">
        <v>41</v>
      </c>
      <c r="C111" s="2">
        <f>+F83</f>
        <v>1542322.5</v>
      </c>
      <c r="E111" t="s">
        <v>32</v>
      </c>
      <c r="F111" s="2">
        <f>+F104</f>
        <v>1350000</v>
      </c>
    </row>
    <row r="112" spans="1:6" outlineLevel="1" x14ac:dyDescent="0.25">
      <c r="B112" t="s">
        <v>40</v>
      </c>
      <c r="C112" s="15">
        <f>+F33*3*A54-H57*2*A59</f>
        <v>-445266.75</v>
      </c>
      <c r="E112" t="str">
        <f>+B112</f>
        <v>am ac</v>
      </c>
      <c r="F112" s="15">
        <v>0</v>
      </c>
    </row>
    <row r="113" spans="1:6" outlineLevel="1" x14ac:dyDescent="0.25">
      <c r="C113" s="2">
        <f>+SUM(C111:C112)</f>
        <v>1097055.75</v>
      </c>
      <c r="F113" s="2">
        <f>+SUM(F111:F112)</f>
        <v>1350000</v>
      </c>
    </row>
    <row r="114" spans="1:6" outlineLevel="1" x14ac:dyDescent="0.25">
      <c r="C114" s="16">
        <f>+C113-'anexo BU - 2019'!L18</f>
        <v>0</v>
      </c>
      <c r="F114" s="16">
        <f>+F113-'anexo BU - 2019'!L19</f>
        <v>0</v>
      </c>
    </row>
    <row r="115" spans="1:6" outlineLevel="1" x14ac:dyDescent="0.25"/>
    <row r="116" spans="1:6" outlineLevel="1" x14ac:dyDescent="0.25">
      <c r="A116" s="3" t="s">
        <v>48</v>
      </c>
      <c r="B116" s="3"/>
    </row>
    <row r="117" spans="1:6" outlineLevel="1" x14ac:dyDescent="0.25"/>
    <row r="118" spans="1:6" outlineLevel="1" x14ac:dyDescent="0.25">
      <c r="B118" t="s">
        <v>41</v>
      </c>
      <c r="C118" s="2">
        <f>+F83*A99</f>
        <v>2375176.65</v>
      </c>
      <c r="E118" t="s">
        <v>32</v>
      </c>
      <c r="F118" s="2">
        <f>+F111</f>
        <v>1350000</v>
      </c>
    </row>
    <row r="119" spans="1:6" outlineLevel="1" x14ac:dyDescent="0.25">
      <c r="B119" t="s">
        <v>40</v>
      </c>
      <c r="C119" s="15">
        <f>+F33*3*A54*A99-H57*2*A59*A99</f>
        <v>-685710.79500000004</v>
      </c>
      <c r="E119" t="str">
        <f>+B119</f>
        <v>am ac</v>
      </c>
      <c r="F119" s="15">
        <v>0</v>
      </c>
    </row>
    <row r="120" spans="1:6" outlineLevel="1" x14ac:dyDescent="0.25">
      <c r="C120" s="2">
        <f>+SUM(C118:C119)</f>
        <v>1689465.855</v>
      </c>
      <c r="F120" s="2">
        <f>+SUM(F118:F119)</f>
        <v>1350000</v>
      </c>
    </row>
    <row r="121" spans="1:6" outlineLevel="1" x14ac:dyDescent="0.25">
      <c r="C121" s="16">
        <f>+C120-'anexo BU - 2019'!L30</f>
        <v>0</v>
      </c>
      <c r="F121" s="16">
        <f>+F120-'anexo BU - 2019'!L31</f>
        <v>0</v>
      </c>
    </row>
    <row r="122" spans="1:6" outlineLevel="1" x14ac:dyDescent="0.25"/>
  </sheetData>
  <mergeCells count="1">
    <mergeCell ref="A43:N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3"/>
  <sheetViews>
    <sheetView zoomScale="90" zoomScaleNormal="90" workbookViewId="0">
      <selection activeCell="L13" sqref="L13"/>
    </sheetView>
  </sheetViews>
  <sheetFormatPr baseColWidth="10" defaultRowHeight="15" x14ac:dyDescent="0.25"/>
  <cols>
    <col min="2" max="2" width="17.85546875" customWidth="1"/>
    <col min="3" max="12" width="13.140625" customWidth="1"/>
  </cols>
  <sheetData>
    <row r="2" spans="2:12" x14ac:dyDescent="0.25">
      <c r="B2" s="4" t="s">
        <v>3</v>
      </c>
    </row>
    <row r="3" spans="2:12" x14ac:dyDescent="0.25">
      <c r="B3" s="4"/>
    </row>
    <row r="4" spans="2:12" x14ac:dyDescent="0.25">
      <c r="B4" s="24" t="s">
        <v>14</v>
      </c>
      <c r="C4" s="23" t="s">
        <v>8</v>
      </c>
      <c r="D4" s="23"/>
      <c r="E4" s="23"/>
      <c r="F4" s="23"/>
      <c r="G4" s="23" t="s">
        <v>9</v>
      </c>
      <c r="H4" s="23"/>
      <c r="I4" s="23"/>
      <c r="J4" s="23"/>
      <c r="K4" s="23" t="s">
        <v>2</v>
      </c>
      <c r="L4" s="23"/>
    </row>
    <row r="5" spans="2:12" x14ac:dyDescent="0.25">
      <c r="B5" s="24"/>
      <c r="C5" s="11" t="s">
        <v>6</v>
      </c>
      <c r="D5" s="11" t="s">
        <v>0</v>
      </c>
      <c r="E5" s="11" t="s">
        <v>1</v>
      </c>
      <c r="F5" s="11" t="s">
        <v>7</v>
      </c>
      <c r="G5" s="11" t="s">
        <v>10</v>
      </c>
      <c r="H5" s="11" t="s">
        <v>11</v>
      </c>
      <c r="I5" s="11" t="s">
        <v>12</v>
      </c>
      <c r="J5" s="11" t="s">
        <v>13</v>
      </c>
      <c r="K5" s="11" t="s">
        <v>5</v>
      </c>
      <c r="L5" s="11" t="s">
        <v>17</v>
      </c>
    </row>
    <row r="6" spans="2:12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x14ac:dyDescent="0.25">
      <c r="B7" s="7" t="s">
        <v>28</v>
      </c>
      <c r="C7" s="6">
        <v>0</v>
      </c>
      <c r="D7" s="6">
        <f>+datos!D12</f>
        <v>500000</v>
      </c>
      <c r="E7" s="6">
        <v>0</v>
      </c>
      <c r="F7" s="6">
        <f>+C7+D7-E7</f>
        <v>500000</v>
      </c>
      <c r="G7" s="6">
        <v>0</v>
      </c>
      <c r="H7" s="6">
        <f>+datos!H12/datos!D14</f>
        <v>50000</v>
      </c>
      <c r="I7" s="6">
        <v>0</v>
      </c>
      <c r="J7" s="6">
        <f>+G7+H7-I7</f>
        <v>50000</v>
      </c>
      <c r="K7" s="6">
        <f>+F7-J7</f>
        <v>450000</v>
      </c>
      <c r="L7" s="6">
        <f>+C7-G7</f>
        <v>0</v>
      </c>
    </row>
    <row r="8" spans="2:12" x14ac:dyDescent="0.25">
      <c r="B8" s="7" t="s">
        <v>4</v>
      </c>
      <c r="C8" s="6">
        <v>0</v>
      </c>
      <c r="D8" s="6">
        <f>+datos!D17</f>
        <v>850000</v>
      </c>
      <c r="E8" s="6">
        <v>0</v>
      </c>
      <c r="F8" s="6">
        <f>+C8+D8-E8</f>
        <v>850000</v>
      </c>
      <c r="G8" s="6">
        <v>0</v>
      </c>
      <c r="H8" s="6">
        <f>+datos!H17/datos!D19</f>
        <v>85000</v>
      </c>
      <c r="I8" s="6">
        <v>0</v>
      </c>
      <c r="J8" s="6">
        <f>+G8+H8-I8</f>
        <v>85000</v>
      </c>
      <c r="K8" s="6">
        <f>+F8-J8</f>
        <v>765000</v>
      </c>
      <c r="L8" s="6">
        <f>+C8-G8</f>
        <v>0</v>
      </c>
    </row>
    <row r="9" spans="2:12" x14ac:dyDescent="0.25">
      <c r="B9" s="9"/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5">
      <c r="B10" s="8" t="s">
        <v>15</v>
      </c>
      <c r="C10" s="10">
        <f t="shared" ref="C10:J10" si="0">+SUM(C7:C9)</f>
        <v>0</v>
      </c>
      <c r="D10" s="10">
        <f t="shared" si="0"/>
        <v>1350000</v>
      </c>
      <c r="E10" s="10">
        <f t="shared" si="0"/>
        <v>0</v>
      </c>
      <c r="F10" s="10">
        <f t="shared" si="0"/>
        <v>1350000</v>
      </c>
      <c r="G10" s="10">
        <f t="shared" si="0"/>
        <v>0</v>
      </c>
      <c r="H10" s="10">
        <f t="shared" si="0"/>
        <v>135000</v>
      </c>
      <c r="I10" s="10">
        <f t="shared" si="0"/>
        <v>0</v>
      </c>
      <c r="J10" s="10">
        <f t="shared" si="0"/>
        <v>135000</v>
      </c>
      <c r="K10" s="10">
        <f>+F10-J10</f>
        <v>1215000</v>
      </c>
      <c r="L10" s="12" t="s">
        <v>20</v>
      </c>
    </row>
    <row r="11" spans="2:12" x14ac:dyDescent="0.25">
      <c r="B11" s="8" t="s">
        <v>16</v>
      </c>
      <c r="C11" s="10">
        <f>+F11+E11-D11</f>
        <v>0</v>
      </c>
      <c r="D11" s="10">
        <v>0</v>
      </c>
      <c r="E11" s="10">
        <v>0</v>
      </c>
      <c r="F11" s="10">
        <f>+C10</f>
        <v>0</v>
      </c>
      <c r="G11" s="10">
        <f>+J11+I11-H11</f>
        <v>0</v>
      </c>
      <c r="H11" s="10">
        <v>0</v>
      </c>
      <c r="I11" s="10">
        <v>0</v>
      </c>
      <c r="J11" s="10">
        <f>+G10</f>
        <v>0</v>
      </c>
      <c r="K11" s="12" t="s">
        <v>20</v>
      </c>
      <c r="L11" s="10">
        <f>+F11-J11</f>
        <v>0</v>
      </c>
    </row>
    <row r="14" spans="2:12" x14ac:dyDescent="0.25">
      <c r="B14" s="4" t="s">
        <v>18</v>
      </c>
    </row>
    <row r="15" spans="2:12" x14ac:dyDescent="0.25">
      <c r="B15" s="4"/>
    </row>
    <row r="16" spans="2:12" x14ac:dyDescent="0.25">
      <c r="B16" s="24" t="s">
        <v>14</v>
      </c>
      <c r="C16" s="23" t="s">
        <v>8</v>
      </c>
      <c r="D16" s="23"/>
      <c r="E16" s="23"/>
      <c r="F16" s="23"/>
      <c r="G16" s="23" t="s">
        <v>9</v>
      </c>
      <c r="H16" s="23"/>
      <c r="I16" s="23"/>
      <c r="J16" s="23"/>
      <c r="K16" s="23" t="s">
        <v>2</v>
      </c>
      <c r="L16" s="23"/>
    </row>
    <row r="17" spans="2:13" x14ac:dyDescent="0.25">
      <c r="B17" s="24"/>
      <c r="C17" s="11" t="s">
        <v>6</v>
      </c>
      <c r="D17" s="11" t="s">
        <v>0</v>
      </c>
      <c r="E17" s="11" t="s">
        <v>1</v>
      </c>
      <c r="F17" s="11" t="s">
        <v>7</v>
      </c>
      <c r="G17" s="11" t="s">
        <v>10</v>
      </c>
      <c r="H17" s="11" t="s">
        <v>11</v>
      </c>
      <c r="I17" s="11" t="s">
        <v>12</v>
      </c>
      <c r="J17" s="11" t="s">
        <v>13</v>
      </c>
      <c r="K17" s="11" t="s">
        <v>5</v>
      </c>
      <c r="L17" s="11" t="s">
        <v>17</v>
      </c>
    </row>
    <row r="18" spans="2:13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3" x14ac:dyDescent="0.25">
      <c r="B19" s="7" t="s">
        <v>28</v>
      </c>
      <c r="C19" s="6">
        <v>0</v>
      </c>
      <c r="D19" s="6">
        <f>+D7*datos!A15</f>
        <v>545000</v>
      </c>
      <c r="E19" s="6">
        <v>0</v>
      </c>
      <c r="F19" s="6">
        <f>+C19+D19-E19</f>
        <v>545000</v>
      </c>
      <c r="G19" s="6">
        <v>0</v>
      </c>
      <c r="H19" s="6">
        <f>+H7*datos!A15</f>
        <v>54500.000000000007</v>
      </c>
      <c r="I19" s="6">
        <v>0</v>
      </c>
      <c r="J19" s="6">
        <f>+G19+H19-I19</f>
        <v>54500.000000000007</v>
      </c>
      <c r="K19" s="6">
        <f>+F19-J19</f>
        <v>490500</v>
      </c>
      <c r="L19" s="6">
        <f>+C19-G19</f>
        <v>0</v>
      </c>
      <c r="M19" s="13">
        <f>+K19/K7-datos!A15</f>
        <v>0</v>
      </c>
    </row>
    <row r="20" spans="2:13" x14ac:dyDescent="0.25">
      <c r="B20" s="7" t="s">
        <v>4</v>
      </c>
      <c r="C20" s="6">
        <v>0</v>
      </c>
      <c r="D20" s="6">
        <f>+D8*datos!A20</f>
        <v>896750</v>
      </c>
      <c r="E20" s="6">
        <v>0</v>
      </c>
      <c r="F20" s="6">
        <f>+C20+D20-E20</f>
        <v>896750</v>
      </c>
      <c r="G20" s="6">
        <v>0</v>
      </c>
      <c r="H20" s="6">
        <f>+H8*datos!A20</f>
        <v>89675</v>
      </c>
      <c r="I20" s="6">
        <v>0</v>
      </c>
      <c r="J20" s="6">
        <f>+G20+H20-I20</f>
        <v>89675</v>
      </c>
      <c r="K20" s="6">
        <f>+F20-J20</f>
        <v>807075</v>
      </c>
      <c r="L20" s="6">
        <f>+C20-G20</f>
        <v>0</v>
      </c>
      <c r="M20" s="13">
        <f>+K20/K8-datos!A20</f>
        <v>0</v>
      </c>
    </row>
    <row r="21" spans="2:13" x14ac:dyDescent="0.25"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3" x14ac:dyDescent="0.25">
      <c r="B22" s="8" t="s">
        <v>15</v>
      </c>
      <c r="C22" s="10">
        <f t="shared" ref="C22:J22" si="1">+SUM(C19:C21)</f>
        <v>0</v>
      </c>
      <c r="D22" s="10">
        <f t="shared" si="1"/>
        <v>1441750</v>
      </c>
      <c r="E22" s="10">
        <f t="shared" si="1"/>
        <v>0</v>
      </c>
      <c r="F22" s="10">
        <f t="shared" si="1"/>
        <v>1441750</v>
      </c>
      <c r="G22" s="10">
        <f t="shared" si="1"/>
        <v>0</v>
      </c>
      <c r="H22" s="10">
        <f t="shared" si="1"/>
        <v>144175</v>
      </c>
      <c r="I22" s="10">
        <f t="shared" si="1"/>
        <v>0</v>
      </c>
      <c r="J22" s="10">
        <f t="shared" si="1"/>
        <v>144175</v>
      </c>
      <c r="K22" s="10">
        <f>+F22-J22</f>
        <v>1297575</v>
      </c>
      <c r="L22" s="12" t="s">
        <v>20</v>
      </c>
    </row>
    <row r="23" spans="2:13" x14ac:dyDescent="0.25">
      <c r="B23" s="8" t="s">
        <v>16</v>
      </c>
      <c r="C23" s="10">
        <f>+F23+E23-D23</f>
        <v>0</v>
      </c>
      <c r="D23" s="10">
        <v>0</v>
      </c>
      <c r="E23" s="10">
        <v>0</v>
      </c>
      <c r="F23" s="10">
        <f>+C22</f>
        <v>0</v>
      </c>
      <c r="G23" s="10">
        <f>+J23+I23-H23</f>
        <v>0</v>
      </c>
      <c r="H23" s="10">
        <v>0</v>
      </c>
      <c r="I23" s="10">
        <v>0</v>
      </c>
      <c r="J23" s="10">
        <f>+G22</f>
        <v>0</v>
      </c>
      <c r="K23" s="12" t="s">
        <v>20</v>
      </c>
      <c r="L23" s="10">
        <f>+F23-J23</f>
        <v>0</v>
      </c>
    </row>
  </sheetData>
  <mergeCells count="8">
    <mergeCell ref="K4:L4"/>
    <mergeCell ref="G4:J4"/>
    <mergeCell ref="C4:F4"/>
    <mergeCell ref="B4:B5"/>
    <mergeCell ref="B16:B17"/>
    <mergeCell ref="C16:F16"/>
    <mergeCell ref="G16:J16"/>
    <mergeCell ref="K16:L1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37"/>
  <sheetViews>
    <sheetView topLeftCell="A25" zoomScale="88" zoomScaleNormal="88" workbookViewId="0">
      <selection activeCell="C30" sqref="C30"/>
    </sheetView>
  </sheetViews>
  <sheetFormatPr baseColWidth="10" defaultRowHeight="15" x14ac:dyDescent="0.25"/>
  <cols>
    <col min="2" max="2" width="17.85546875" customWidth="1"/>
    <col min="3" max="12" width="13.140625" customWidth="1"/>
  </cols>
  <sheetData>
    <row r="2" spans="2:16" x14ac:dyDescent="0.25">
      <c r="B2" s="4" t="s">
        <v>19</v>
      </c>
    </row>
    <row r="3" spans="2:16" x14ac:dyDescent="0.25">
      <c r="B3" s="4"/>
    </row>
    <row r="4" spans="2:16" x14ac:dyDescent="0.25">
      <c r="B4" s="24" t="s">
        <v>14</v>
      </c>
      <c r="C4" s="23" t="s">
        <v>8</v>
      </c>
      <c r="D4" s="23"/>
      <c r="E4" s="23"/>
      <c r="F4" s="23"/>
      <c r="G4" s="23" t="s">
        <v>9</v>
      </c>
      <c r="H4" s="23"/>
      <c r="I4" s="23"/>
      <c r="J4" s="23"/>
      <c r="K4" s="23" t="s">
        <v>2</v>
      </c>
      <c r="L4" s="23"/>
    </row>
    <row r="5" spans="2:16" x14ac:dyDescent="0.25">
      <c r="B5" s="24"/>
      <c r="C5" s="11" t="s">
        <v>6</v>
      </c>
      <c r="D5" s="11" t="s">
        <v>0</v>
      </c>
      <c r="E5" s="11" t="s">
        <v>1</v>
      </c>
      <c r="F5" s="11" t="s">
        <v>7</v>
      </c>
      <c r="G5" s="11" t="s">
        <v>10</v>
      </c>
      <c r="H5" s="11" t="s">
        <v>11</v>
      </c>
      <c r="I5" s="11" t="s">
        <v>12</v>
      </c>
      <c r="J5" s="11" t="s">
        <v>13</v>
      </c>
      <c r="K5" s="11" t="s">
        <v>5</v>
      </c>
      <c r="L5" s="11" t="s">
        <v>17</v>
      </c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</row>
    <row r="7" spans="2:16" ht="28.5" customHeight="1" x14ac:dyDescent="0.25">
      <c r="B7" s="7" t="s">
        <v>28</v>
      </c>
      <c r="C7" s="6">
        <f>+'anexo BU - 2017'!F7</f>
        <v>500000</v>
      </c>
      <c r="D7" s="6">
        <v>0</v>
      </c>
      <c r="E7" s="6">
        <f>+C7</f>
        <v>500000</v>
      </c>
      <c r="F7" s="21">
        <f>+C7+D7-E7</f>
        <v>0</v>
      </c>
      <c r="G7" s="6">
        <f>+'anexo BU - 2017'!J7</f>
        <v>50000</v>
      </c>
      <c r="H7" s="6">
        <v>0</v>
      </c>
      <c r="I7" s="6">
        <f>+G7</f>
        <v>50000</v>
      </c>
      <c r="J7" s="21">
        <f>+G7+H7-I7</f>
        <v>0</v>
      </c>
      <c r="K7" s="21">
        <f>+F7-J7</f>
        <v>0</v>
      </c>
      <c r="L7" s="6">
        <f>+C7-G7</f>
        <v>450000</v>
      </c>
      <c r="N7" s="25" t="s">
        <v>60</v>
      </c>
      <c r="O7" s="25"/>
      <c r="P7" s="25"/>
    </row>
    <row r="8" spans="2:16" x14ac:dyDescent="0.25">
      <c r="B8" s="7" t="s">
        <v>4</v>
      </c>
      <c r="C8" s="6">
        <f>+'anexo BU - 2017'!F8</f>
        <v>850000</v>
      </c>
      <c r="D8" s="6">
        <f>+datos!D57</f>
        <v>180000</v>
      </c>
      <c r="E8" s="6">
        <v>0</v>
      </c>
      <c r="F8" s="6">
        <f>+C8+D8-E8</f>
        <v>1030000</v>
      </c>
      <c r="G8" s="6">
        <f>+'anexo BU - 2017'!J8</f>
        <v>85000</v>
      </c>
      <c r="H8" s="6">
        <f>+datos!H56+datos!H57</f>
        <v>105000</v>
      </c>
      <c r="I8" s="6">
        <v>0</v>
      </c>
      <c r="J8" s="6">
        <f>+G8+H8-I8</f>
        <v>190000</v>
      </c>
      <c r="K8" s="6">
        <f>+F8-J8</f>
        <v>840000</v>
      </c>
      <c r="L8" s="6">
        <f>+C8-G8</f>
        <v>765000</v>
      </c>
    </row>
    <row r="9" spans="2:16" x14ac:dyDescent="0.25">
      <c r="B9" s="7" t="s">
        <v>33</v>
      </c>
      <c r="C9" s="6">
        <v>0</v>
      </c>
      <c r="D9" s="6">
        <f>+datos!D61</f>
        <v>800000</v>
      </c>
      <c r="E9" s="6">
        <v>0</v>
      </c>
      <c r="F9" s="6">
        <f>+C9+D9-E9</f>
        <v>800000</v>
      </c>
      <c r="G9" s="6">
        <v>0</v>
      </c>
      <c r="H9" s="6">
        <v>0</v>
      </c>
      <c r="I9" s="6">
        <v>0</v>
      </c>
      <c r="J9" s="6">
        <f>+G9+H9-I9</f>
        <v>0</v>
      </c>
      <c r="K9" s="6">
        <f>+F9-J9</f>
        <v>800000</v>
      </c>
      <c r="L9" s="6">
        <f>+C9-G9</f>
        <v>0</v>
      </c>
    </row>
    <row r="10" spans="2:16" x14ac:dyDescent="0.25"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2:16" x14ac:dyDescent="0.25">
      <c r="B11" s="8" t="s">
        <v>15</v>
      </c>
      <c r="C11" s="10">
        <f t="shared" ref="C11:J11" si="0">+SUM(C7:C10)</f>
        <v>1350000</v>
      </c>
      <c r="D11" s="10">
        <f t="shared" si="0"/>
        <v>980000</v>
      </c>
      <c r="E11" s="10">
        <f t="shared" si="0"/>
        <v>500000</v>
      </c>
      <c r="F11" s="10">
        <f t="shared" si="0"/>
        <v>1830000</v>
      </c>
      <c r="G11" s="10">
        <f t="shared" si="0"/>
        <v>135000</v>
      </c>
      <c r="H11" s="10">
        <f t="shared" si="0"/>
        <v>105000</v>
      </c>
      <c r="I11" s="10">
        <f t="shared" si="0"/>
        <v>50000</v>
      </c>
      <c r="J11" s="10">
        <f t="shared" si="0"/>
        <v>190000</v>
      </c>
      <c r="K11" s="10">
        <f>+F11-J11</f>
        <v>1640000</v>
      </c>
      <c r="L11" s="12" t="s">
        <v>20</v>
      </c>
    </row>
    <row r="12" spans="2:16" x14ac:dyDescent="0.25">
      <c r="B12" s="8" t="s">
        <v>16</v>
      </c>
      <c r="C12" s="10">
        <f>+F12+E12-D12</f>
        <v>0</v>
      </c>
      <c r="D12" s="10">
        <f>+'anexo BU - 2017'!D10</f>
        <v>1350000</v>
      </c>
      <c r="E12" s="10">
        <v>0</v>
      </c>
      <c r="F12" s="10">
        <f>+C11</f>
        <v>1350000</v>
      </c>
      <c r="G12" s="10">
        <f>+J12+I12-H12</f>
        <v>0</v>
      </c>
      <c r="H12" s="10">
        <f>+'anexo BU - 2017'!H10</f>
        <v>135000</v>
      </c>
      <c r="I12" s="10">
        <v>0</v>
      </c>
      <c r="J12" s="10">
        <f>+G11</f>
        <v>135000</v>
      </c>
      <c r="K12" s="12" t="s">
        <v>20</v>
      </c>
      <c r="L12" s="10">
        <f>+F12-J12</f>
        <v>1215000</v>
      </c>
    </row>
    <row r="14" spans="2:16" x14ac:dyDescent="0.25">
      <c r="B14" s="4" t="s">
        <v>21</v>
      </c>
    </row>
    <row r="15" spans="2:16" x14ac:dyDescent="0.25">
      <c r="B15" s="4"/>
    </row>
    <row r="16" spans="2:16" x14ac:dyDescent="0.25">
      <c r="B16" s="24" t="s">
        <v>14</v>
      </c>
      <c r="C16" s="23" t="s">
        <v>8</v>
      </c>
      <c r="D16" s="23"/>
      <c r="E16" s="23"/>
      <c r="F16" s="23"/>
      <c r="G16" s="23" t="s">
        <v>9</v>
      </c>
      <c r="H16" s="23"/>
      <c r="I16" s="23"/>
      <c r="J16" s="23"/>
      <c r="K16" s="23" t="s">
        <v>2</v>
      </c>
      <c r="L16" s="23"/>
    </row>
    <row r="17" spans="2:16" x14ac:dyDescent="0.25">
      <c r="B17" s="24"/>
      <c r="C17" s="11" t="s">
        <v>6</v>
      </c>
      <c r="D17" s="11" t="s">
        <v>0</v>
      </c>
      <c r="E17" s="11" t="s">
        <v>1</v>
      </c>
      <c r="F17" s="11" t="s">
        <v>7</v>
      </c>
      <c r="G17" s="11" t="s">
        <v>10</v>
      </c>
      <c r="H17" s="11" t="s">
        <v>11</v>
      </c>
      <c r="I17" s="11" t="s">
        <v>12</v>
      </c>
      <c r="J17" s="11" t="s">
        <v>13</v>
      </c>
      <c r="K17" s="11" t="s">
        <v>5</v>
      </c>
      <c r="L17" s="11" t="s">
        <v>17</v>
      </c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6" ht="30" customHeight="1" x14ac:dyDescent="0.25">
      <c r="B19" s="7" t="s">
        <v>28</v>
      </c>
      <c r="C19" s="6">
        <f>+'anexo BU - 2017'!F19</f>
        <v>545000</v>
      </c>
      <c r="D19" s="6">
        <v>0</v>
      </c>
      <c r="E19" s="6">
        <f>+C19</f>
        <v>545000</v>
      </c>
      <c r="F19" s="21">
        <f>+C19+D19-E19</f>
        <v>0</v>
      </c>
      <c r="G19" s="6">
        <f>+'anexo BU - 2017'!J19</f>
        <v>54500.000000000007</v>
      </c>
      <c r="H19" s="6">
        <v>0</v>
      </c>
      <c r="I19" s="6">
        <f>+G19</f>
        <v>54500.000000000007</v>
      </c>
      <c r="J19" s="21">
        <f>+G19+H19-I19</f>
        <v>0</v>
      </c>
      <c r="K19" s="21">
        <f>+F19-J19</f>
        <v>0</v>
      </c>
      <c r="L19" s="6">
        <f>+C19-G19</f>
        <v>490500</v>
      </c>
      <c r="M19" s="13">
        <f>+L19-'anexo BU - 2017'!K19</f>
        <v>0</v>
      </c>
      <c r="N19" s="25" t="s">
        <v>60</v>
      </c>
      <c r="O19" s="25"/>
      <c r="P19" s="25"/>
    </row>
    <row r="20" spans="2:16" x14ac:dyDescent="0.25">
      <c r="B20" s="7" t="s">
        <v>4</v>
      </c>
      <c r="C20" s="6">
        <f>+'anexo BU - 2017'!F20</f>
        <v>896750</v>
      </c>
      <c r="D20" s="6">
        <f>+D8</f>
        <v>180000</v>
      </c>
      <c r="E20" s="6">
        <v>0</v>
      </c>
      <c r="F20" s="6">
        <f>+C20+D20-E20</f>
        <v>1076750</v>
      </c>
      <c r="G20" s="6">
        <f>+'anexo BU - 2017'!J20</f>
        <v>89675</v>
      </c>
      <c r="H20" s="6">
        <f>+datos!H18*datos!A20+datos!H57</f>
        <v>109675</v>
      </c>
      <c r="I20" s="6">
        <v>0</v>
      </c>
      <c r="J20" s="6">
        <f>+G20+H20-I20</f>
        <v>199350</v>
      </c>
      <c r="K20" s="6">
        <f>+F20-J20</f>
        <v>877400</v>
      </c>
      <c r="L20" s="6">
        <f>+C20-G20</f>
        <v>807075</v>
      </c>
      <c r="M20" s="13">
        <f>+L20-'anexo BU - 2017'!K20</f>
        <v>0</v>
      </c>
    </row>
    <row r="21" spans="2:16" x14ac:dyDescent="0.25">
      <c r="B21" s="7" t="s">
        <v>33</v>
      </c>
      <c r="C21" s="6">
        <f>+C9</f>
        <v>0</v>
      </c>
      <c r="D21" s="6">
        <f>+D9</f>
        <v>800000</v>
      </c>
      <c r="E21" s="6">
        <f>+E9</f>
        <v>0</v>
      </c>
      <c r="F21" s="6">
        <f>+C21+D21-E21</f>
        <v>800000</v>
      </c>
      <c r="G21" s="6">
        <f>+G9</f>
        <v>0</v>
      </c>
      <c r="H21" s="6">
        <f>+H9</f>
        <v>0</v>
      </c>
      <c r="I21" s="6">
        <f>+I9</f>
        <v>0</v>
      </c>
      <c r="J21" s="6">
        <f>+G21+H21-I21</f>
        <v>0</v>
      </c>
      <c r="K21" s="6">
        <f>+F21-J21</f>
        <v>800000</v>
      </c>
      <c r="L21" s="6">
        <f>+C21-G21</f>
        <v>0</v>
      </c>
    </row>
    <row r="22" spans="2:16" x14ac:dyDescent="0.25"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6" x14ac:dyDescent="0.25">
      <c r="B23" s="8" t="s">
        <v>15</v>
      </c>
      <c r="C23" s="10">
        <f>+SUM(C19:C22)</f>
        <v>1441750</v>
      </c>
      <c r="D23" s="10">
        <f t="shared" ref="D23" si="1">+SUM(D19:D22)</f>
        <v>980000</v>
      </c>
      <c r="E23" s="10">
        <f t="shared" ref="E23" si="2">+SUM(E19:E22)</f>
        <v>545000</v>
      </c>
      <c r="F23" s="10">
        <f t="shared" ref="F23" si="3">+SUM(F19:F22)</f>
        <v>1876750</v>
      </c>
      <c r="G23" s="10">
        <f t="shared" ref="G23" si="4">+SUM(G19:G22)</f>
        <v>144175</v>
      </c>
      <c r="H23" s="10">
        <f t="shared" ref="H23" si="5">+SUM(H19:H22)</f>
        <v>109675</v>
      </c>
      <c r="I23" s="10">
        <f t="shared" ref="I23" si="6">+SUM(I19:I22)</f>
        <v>54500.000000000007</v>
      </c>
      <c r="J23" s="10">
        <f t="shared" ref="J23" si="7">+SUM(J19:J22)</f>
        <v>199350</v>
      </c>
      <c r="K23" s="10">
        <f>+F23-J23</f>
        <v>1677400</v>
      </c>
      <c r="L23" s="12" t="s">
        <v>20</v>
      </c>
    </row>
    <row r="24" spans="2:16" x14ac:dyDescent="0.25">
      <c r="B24" s="8" t="s">
        <v>16</v>
      </c>
      <c r="C24" s="10">
        <f>+F24+E24-D24</f>
        <v>0</v>
      </c>
      <c r="D24" s="10">
        <f>+'anexo BU - 2017'!D22</f>
        <v>1441750</v>
      </c>
      <c r="E24" s="10">
        <v>0</v>
      </c>
      <c r="F24" s="10">
        <f>+C23</f>
        <v>1441750</v>
      </c>
      <c r="G24" s="10">
        <f>+J24+I24-H24</f>
        <v>0</v>
      </c>
      <c r="H24" s="10">
        <f>+'anexo BU - 2017'!H22</f>
        <v>144175</v>
      </c>
      <c r="I24" s="10">
        <v>0</v>
      </c>
      <c r="J24" s="10">
        <f>+G23</f>
        <v>144175</v>
      </c>
      <c r="K24" s="12" t="s">
        <v>20</v>
      </c>
      <c r="L24" s="10">
        <f>+F24-J24</f>
        <v>1297575</v>
      </c>
    </row>
    <row r="27" spans="2:16" x14ac:dyDescent="0.25">
      <c r="B27" s="4" t="s">
        <v>22</v>
      </c>
    </row>
    <row r="28" spans="2:16" x14ac:dyDescent="0.25">
      <c r="B28" s="4"/>
    </row>
    <row r="29" spans="2:16" x14ac:dyDescent="0.25">
      <c r="B29" s="24" t="s">
        <v>14</v>
      </c>
      <c r="C29" s="23" t="s">
        <v>8</v>
      </c>
      <c r="D29" s="23"/>
      <c r="E29" s="23"/>
      <c r="F29" s="23"/>
      <c r="G29" s="23" t="s">
        <v>9</v>
      </c>
      <c r="H29" s="23"/>
      <c r="I29" s="23"/>
      <c r="J29" s="23"/>
      <c r="K29" s="23" t="s">
        <v>2</v>
      </c>
      <c r="L29" s="23"/>
    </row>
    <row r="30" spans="2:16" x14ac:dyDescent="0.25">
      <c r="B30" s="24"/>
      <c r="C30" s="11" t="s">
        <v>6</v>
      </c>
      <c r="D30" s="11" t="s">
        <v>0</v>
      </c>
      <c r="E30" s="11" t="s">
        <v>1</v>
      </c>
      <c r="F30" s="11" t="s">
        <v>7</v>
      </c>
      <c r="G30" s="11" t="s">
        <v>10</v>
      </c>
      <c r="H30" s="11" t="s">
        <v>11</v>
      </c>
      <c r="I30" s="11" t="s">
        <v>12</v>
      </c>
      <c r="J30" s="11" t="s">
        <v>13</v>
      </c>
      <c r="K30" s="11" t="s">
        <v>5</v>
      </c>
      <c r="L30" s="11" t="s">
        <v>17</v>
      </c>
    </row>
    <row r="31" spans="2:16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2:16" ht="28.5" customHeight="1" x14ac:dyDescent="0.25">
      <c r="B32" s="7" t="s">
        <v>28</v>
      </c>
      <c r="C32" s="6">
        <f>+C19*datos!$A$54</f>
        <v>801150</v>
      </c>
      <c r="D32" s="6">
        <v>0</v>
      </c>
      <c r="E32" s="6">
        <f>+C32</f>
        <v>801150</v>
      </c>
      <c r="F32" s="21">
        <f>+C32+D32-E32</f>
        <v>0</v>
      </c>
      <c r="G32" s="6">
        <f>+G19*datos!$A$54</f>
        <v>80115.000000000015</v>
      </c>
      <c r="H32" s="6">
        <v>0</v>
      </c>
      <c r="I32" s="6">
        <f>+G32</f>
        <v>80115.000000000015</v>
      </c>
      <c r="J32" s="21">
        <f>+G32+H32-I32</f>
        <v>0</v>
      </c>
      <c r="K32" s="21">
        <f>+F32-J32</f>
        <v>0</v>
      </c>
      <c r="L32" s="6">
        <f>+C32-G32</f>
        <v>721035</v>
      </c>
      <c r="M32" s="13">
        <f>+L32/L19-datos!$A$54</f>
        <v>0</v>
      </c>
      <c r="N32" s="25" t="s">
        <v>60</v>
      </c>
      <c r="O32" s="25"/>
      <c r="P32" s="25"/>
    </row>
    <row r="33" spans="2:13" x14ac:dyDescent="0.25">
      <c r="B33" s="7" t="s">
        <v>4</v>
      </c>
      <c r="C33" s="6">
        <f>+C20*datos!$A$54</f>
        <v>1318222.5</v>
      </c>
      <c r="D33" s="6">
        <f>+D20*datos!A59</f>
        <v>224100.00000000003</v>
      </c>
      <c r="E33" s="6">
        <v>0</v>
      </c>
      <c r="F33" s="6">
        <f>+C33+D33-E33</f>
        <v>1542322.5</v>
      </c>
      <c r="G33" s="6">
        <f>+G20*datos!$A$54</f>
        <v>131822.25</v>
      </c>
      <c r="H33" s="6">
        <f>+datos!H18*datos!A20*datos!A54+datos!H57*datos!A59</f>
        <v>156722.25</v>
      </c>
      <c r="I33" s="6">
        <v>0</v>
      </c>
      <c r="J33" s="6">
        <f>+G33+H33-I33</f>
        <v>288544.5</v>
      </c>
      <c r="K33" s="6">
        <f>+F33-J33</f>
        <v>1253778</v>
      </c>
      <c r="L33" s="6">
        <f>+C33-G33</f>
        <v>1186400.25</v>
      </c>
      <c r="M33" s="13">
        <f>+L33/L20-datos!$A$54</f>
        <v>0</v>
      </c>
    </row>
    <row r="34" spans="2:13" x14ac:dyDescent="0.25">
      <c r="B34" s="7" t="s">
        <v>33</v>
      </c>
      <c r="C34" s="6">
        <f>+C21*datos!$A$54</f>
        <v>0</v>
      </c>
      <c r="D34" s="6">
        <f>+D21*datos!A64</f>
        <v>800000</v>
      </c>
      <c r="E34" s="6">
        <f>+E21</f>
        <v>0</v>
      </c>
      <c r="F34" s="6">
        <f>+C34+D34-E34</f>
        <v>800000</v>
      </c>
      <c r="G34" s="6">
        <f>+G21*datos!$A$54</f>
        <v>0</v>
      </c>
      <c r="H34" s="6">
        <f>+H21</f>
        <v>0</v>
      </c>
      <c r="I34" s="6">
        <f>+I21</f>
        <v>0</v>
      </c>
      <c r="J34" s="6">
        <f>+G34+H34-I34</f>
        <v>0</v>
      </c>
      <c r="K34" s="6">
        <f>+F34-J34</f>
        <v>800000</v>
      </c>
      <c r="L34" s="6">
        <f>+C34-G34</f>
        <v>0</v>
      </c>
      <c r="M34" s="13"/>
    </row>
    <row r="35" spans="2:13" x14ac:dyDescent="0.25"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3" x14ac:dyDescent="0.25">
      <c r="B36" s="8" t="s">
        <v>15</v>
      </c>
      <c r="C36" s="10">
        <f>+SUM(C32:C35)</f>
        <v>2119372.5</v>
      </c>
      <c r="D36" s="10">
        <f t="shared" ref="D36" si="8">+SUM(D32:D35)</f>
        <v>1024100</v>
      </c>
      <c r="E36" s="10">
        <f t="shared" ref="E36" si="9">+SUM(E32:E35)</f>
        <v>801150</v>
      </c>
      <c r="F36" s="10">
        <f t="shared" ref="F36" si="10">+SUM(F32:F35)</f>
        <v>2342322.5</v>
      </c>
      <c r="G36" s="10">
        <f t="shared" ref="G36" si="11">+SUM(G32:G35)</f>
        <v>211937.25</v>
      </c>
      <c r="H36" s="10">
        <f t="shared" ref="H36" si="12">+SUM(H32:H35)</f>
        <v>156722.25</v>
      </c>
      <c r="I36" s="10">
        <f t="shared" ref="I36" si="13">+SUM(I32:I35)</f>
        <v>80115.000000000015</v>
      </c>
      <c r="J36" s="10">
        <f t="shared" ref="J36" si="14">+SUM(J32:J35)</f>
        <v>288544.5</v>
      </c>
      <c r="K36" s="10">
        <f>+F36-J36</f>
        <v>2053778</v>
      </c>
      <c r="L36" s="12" t="s">
        <v>20</v>
      </c>
    </row>
    <row r="37" spans="2:13" x14ac:dyDescent="0.25">
      <c r="B37" s="8" t="s">
        <v>16</v>
      </c>
      <c r="C37" s="10">
        <f>+F37+E37-D37</f>
        <v>0</v>
      </c>
      <c r="D37" s="10">
        <f>+D24*datos!$A$54</f>
        <v>2119372.5</v>
      </c>
      <c r="E37" s="10">
        <f>+E24*datos!$A$54</f>
        <v>0</v>
      </c>
      <c r="F37" s="10">
        <f>+C36</f>
        <v>2119372.5</v>
      </c>
      <c r="G37" s="10">
        <f>+J37+I37-H37</f>
        <v>0</v>
      </c>
      <c r="H37" s="10">
        <f>+H24*datos!$A$54</f>
        <v>211937.25</v>
      </c>
      <c r="I37" s="10">
        <f>+I24*datos!$A$54</f>
        <v>0</v>
      </c>
      <c r="J37" s="10">
        <f>+G36</f>
        <v>211937.25</v>
      </c>
      <c r="K37" s="12" t="s">
        <v>20</v>
      </c>
      <c r="L37" s="10">
        <f>+F37-J37</f>
        <v>1907435.25</v>
      </c>
      <c r="M37" s="13">
        <f>+L37/L24-datos!A54</f>
        <v>0</v>
      </c>
    </row>
  </sheetData>
  <mergeCells count="15">
    <mergeCell ref="N7:P7"/>
    <mergeCell ref="N19:P19"/>
    <mergeCell ref="N32:P32"/>
    <mergeCell ref="B29:B30"/>
    <mergeCell ref="C29:F29"/>
    <mergeCell ref="G29:J29"/>
    <mergeCell ref="K29:L29"/>
    <mergeCell ref="B4:B5"/>
    <mergeCell ref="C4:F4"/>
    <mergeCell ref="G4:J4"/>
    <mergeCell ref="K4:L4"/>
    <mergeCell ref="B16:B17"/>
    <mergeCell ref="C16:F16"/>
    <mergeCell ref="G16:J16"/>
    <mergeCell ref="K16:L1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4"/>
  <sheetViews>
    <sheetView zoomScale="90" zoomScaleNormal="90" workbookViewId="0">
      <selection activeCell="K24" sqref="K24"/>
    </sheetView>
  </sheetViews>
  <sheetFormatPr baseColWidth="10" defaultRowHeight="15" x14ac:dyDescent="0.25"/>
  <cols>
    <col min="2" max="2" width="17.85546875" customWidth="1"/>
    <col min="3" max="13" width="13.140625" customWidth="1"/>
  </cols>
  <sheetData>
    <row r="2" spans="2:13" x14ac:dyDescent="0.25">
      <c r="B2" s="4" t="s">
        <v>34</v>
      </c>
    </row>
    <row r="3" spans="2:13" x14ac:dyDescent="0.25">
      <c r="B3" s="4"/>
    </row>
    <row r="4" spans="2:13" x14ac:dyDescent="0.25">
      <c r="B4" s="24" t="s">
        <v>14</v>
      </c>
      <c r="C4" s="23" t="s">
        <v>8</v>
      </c>
      <c r="D4" s="23"/>
      <c r="E4" s="23"/>
      <c r="F4" s="23"/>
      <c r="G4" s="23"/>
      <c r="H4" s="23" t="s">
        <v>9</v>
      </c>
      <c r="I4" s="23"/>
      <c r="J4" s="23"/>
      <c r="K4" s="23"/>
      <c r="L4" s="23" t="s">
        <v>2</v>
      </c>
      <c r="M4" s="23"/>
    </row>
    <row r="5" spans="2:13" x14ac:dyDescent="0.25">
      <c r="B5" s="24"/>
      <c r="C5" s="11" t="s">
        <v>6</v>
      </c>
      <c r="D5" s="11" t="s">
        <v>0</v>
      </c>
      <c r="E5" s="11" t="s">
        <v>35</v>
      </c>
      <c r="F5" s="11" t="s">
        <v>1</v>
      </c>
      <c r="G5" s="11" t="s">
        <v>7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5</v>
      </c>
      <c r="M5" s="11" t="s">
        <v>17</v>
      </c>
    </row>
    <row r="6" spans="2:13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2:13" x14ac:dyDescent="0.25">
      <c r="B7" s="7" t="s">
        <v>4</v>
      </c>
      <c r="C7" s="6">
        <f>+'anexo BU - 2018'!F8</f>
        <v>1030000</v>
      </c>
      <c r="D7" s="6">
        <v>0</v>
      </c>
      <c r="E7" s="6">
        <v>0</v>
      </c>
      <c r="F7" s="6">
        <v>0</v>
      </c>
      <c r="G7" s="6">
        <f>+C7+D7+E7-F7</f>
        <v>1030000</v>
      </c>
      <c r="H7" s="6">
        <f>+'anexo BU - 2018'!J8</f>
        <v>190000</v>
      </c>
      <c r="I7" s="6">
        <f>+datos!H56+datos!H57</f>
        <v>105000</v>
      </c>
      <c r="J7" s="6">
        <v>0</v>
      </c>
      <c r="K7" s="6">
        <f>+H7+I7-J7</f>
        <v>295000</v>
      </c>
      <c r="L7" s="6">
        <f>+G7-K7</f>
        <v>735000</v>
      </c>
      <c r="M7" s="6">
        <f>+C7-H7</f>
        <v>840000</v>
      </c>
    </row>
    <row r="8" spans="2:13" x14ac:dyDescent="0.25">
      <c r="B8" s="7" t="s">
        <v>33</v>
      </c>
      <c r="C8" s="6">
        <f>+'anexo BU - 2018'!F9</f>
        <v>800000</v>
      </c>
      <c r="D8" s="6">
        <v>0</v>
      </c>
      <c r="E8" s="6">
        <f>+datos!F104-datos!I69</f>
        <v>550000</v>
      </c>
      <c r="F8" s="6">
        <v>0</v>
      </c>
      <c r="G8" s="6">
        <f>+C8+D8+E8-F8</f>
        <v>1350000</v>
      </c>
      <c r="H8" s="6">
        <v>0</v>
      </c>
      <c r="I8" s="6">
        <v>0</v>
      </c>
      <c r="J8" s="6">
        <v>0</v>
      </c>
      <c r="K8" s="6">
        <f>+H8+I8-J8</f>
        <v>0</v>
      </c>
      <c r="L8" s="6">
        <f>+G8-K8</f>
        <v>1350000</v>
      </c>
      <c r="M8" s="6">
        <f>+C8-H8</f>
        <v>800000</v>
      </c>
    </row>
    <row r="9" spans="2:13" x14ac:dyDescent="0.25"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2:13" x14ac:dyDescent="0.25">
      <c r="B10" s="8" t="s">
        <v>15</v>
      </c>
      <c r="C10" s="10">
        <f t="shared" ref="C10:K10" si="0">+SUM(C7:C9)</f>
        <v>1830000</v>
      </c>
      <c r="D10" s="10">
        <f t="shared" si="0"/>
        <v>0</v>
      </c>
      <c r="E10" s="10">
        <f t="shared" si="0"/>
        <v>550000</v>
      </c>
      <c r="F10" s="10">
        <f t="shared" si="0"/>
        <v>0</v>
      </c>
      <c r="G10" s="10">
        <f t="shared" si="0"/>
        <v>2380000</v>
      </c>
      <c r="H10" s="10">
        <f t="shared" si="0"/>
        <v>190000</v>
      </c>
      <c r="I10" s="10">
        <f t="shared" si="0"/>
        <v>105000</v>
      </c>
      <c r="J10" s="10">
        <f t="shared" si="0"/>
        <v>0</v>
      </c>
      <c r="K10" s="10">
        <f t="shared" si="0"/>
        <v>295000</v>
      </c>
      <c r="L10" s="10">
        <f>+G10-K10</f>
        <v>2085000</v>
      </c>
      <c r="M10" s="12" t="s">
        <v>20</v>
      </c>
    </row>
    <row r="11" spans="2:13" x14ac:dyDescent="0.25">
      <c r="B11" s="8" t="s">
        <v>16</v>
      </c>
      <c r="C11" s="10">
        <f>+G11+F11-E11-D11</f>
        <v>1350000</v>
      </c>
      <c r="D11" s="10">
        <f>+'anexo BU - 2018'!D11</f>
        <v>980000</v>
      </c>
      <c r="E11" s="10">
        <f>+'anexo BU - 2017'!E10</f>
        <v>0</v>
      </c>
      <c r="F11" s="10">
        <f>+'anexo BU - 2018'!E11</f>
        <v>500000</v>
      </c>
      <c r="G11" s="10">
        <f>+C10</f>
        <v>1830000</v>
      </c>
      <c r="H11" s="10">
        <f>+K11+J11-I11</f>
        <v>135000</v>
      </c>
      <c r="I11" s="10">
        <f>+'anexo BU - 2018'!H11</f>
        <v>105000</v>
      </c>
      <c r="J11" s="10">
        <f>+'anexo BU - 2018'!I11</f>
        <v>50000</v>
      </c>
      <c r="K11" s="10">
        <f>+H10</f>
        <v>190000</v>
      </c>
      <c r="L11" s="12" t="s">
        <v>20</v>
      </c>
      <c r="M11" s="10">
        <f>+G11-K11</f>
        <v>1640000</v>
      </c>
    </row>
    <row r="13" spans="2:13" x14ac:dyDescent="0.25">
      <c r="B13" s="4" t="s">
        <v>36</v>
      </c>
    </row>
    <row r="14" spans="2:13" x14ac:dyDescent="0.25">
      <c r="B14" s="4"/>
    </row>
    <row r="15" spans="2:13" x14ac:dyDescent="0.25">
      <c r="B15" s="24" t="s">
        <v>14</v>
      </c>
      <c r="C15" s="23" t="s">
        <v>8</v>
      </c>
      <c r="D15" s="23"/>
      <c r="E15" s="23"/>
      <c r="F15" s="23"/>
      <c r="G15" s="23"/>
      <c r="H15" s="23" t="s">
        <v>9</v>
      </c>
      <c r="I15" s="23"/>
      <c r="J15" s="23"/>
      <c r="K15" s="23"/>
      <c r="L15" s="23" t="s">
        <v>2</v>
      </c>
      <c r="M15" s="23"/>
    </row>
    <row r="16" spans="2:13" x14ac:dyDescent="0.25">
      <c r="B16" s="24"/>
      <c r="C16" s="11" t="s">
        <v>6</v>
      </c>
      <c r="D16" s="11" t="s">
        <v>0</v>
      </c>
      <c r="E16" s="11" t="s">
        <v>35</v>
      </c>
      <c r="F16" s="11" t="s">
        <v>1</v>
      </c>
      <c r="G16" s="11" t="s">
        <v>7</v>
      </c>
      <c r="H16" s="11" t="s">
        <v>10</v>
      </c>
      <c r="I16" s="11" t="s">
        <v>11</v>
      </c>
      <c r="J16" s="11" t="s">
        <v>12</v>
      </c>
      <c r="K16" s="11" t="s">
        <v>13</v>
      </c>
      <c r="L16" s="11" t="s">
        <v>5</v>
      </c>
      <c r="M16" s="11" t="s">
        <v>17</v>
      </c>
    </row>
    <row r="17" spans="2:14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4" x14ac:dyDescent="0.25">
      <c r="B18" s="7" t="s">
        <v>4</v>
      </c>
      <c r="C18" s="6">
        <f>+'anexo BU - 2018'!F33</f>
        <v>1542322.5</v>
      </c>
      <c r="D18" s="6">
        <v>0</v>
      </c>
      <c r="E18" s="6">
        <v>0</v>
      </c>
      <c r="F18" s="6">
        <v>0</v>
      </c>
      <c r="G18" s="6">
        <f>+C18+D18+E18-F18</f>
        <v>1542322.5</v>
      </c>
      <c r="H18" s="6">
        <f>+'anexo BU - 2018'!J33</f>
        <v>288544.5</v>
      </c>
      <c r="I18" s="6">
        <f>+'anexo BU - 2018'!H33</f>
        <v>156722.25</v>
      </c>
      <c r="J18" s="6">
        <v>0</v>
      </c>
      <c r="K18" s="6">
        <f>+H18+I18-J18</f>
        <v>445266.75</v>
      </c>
      <c r="L18" s="6">
        <f>+G18-K18</f>
        <v>1097055.75</v>
      </c>
      <c r="M18" s="6">
        <f>+C18-H18</f>
        <v>1253778</v>
      </c>
      <c r="N18" s="13">
        <f>+M18-'anexo BU - 2018'!K33</f>
        <v>0</v>
      </c>
    </row>
    <row r="19" spans="2:14" x14ac:dyDescent="0.25">
      <c r="B19" s="7" t="s">
        <v>33</v>
      </c>
      <c r="C19" s="6">
        <f>+C8</f>
        <v>800000</v>
      </c>
      <c r="D19" s="6">
        <f>+D8</f>
        <v>0</v>
      </c>
      <c r="E19" s="6">
        <f>+datos!F111-datos!I83</f>
        <v>550000</v>
      </c>
      <c r="F19" s="6">
        <f>+F8</f>
        <v>0</v>
      </c>
      <c r="G19" s="6">
        <f>+C19+D19+E19-F19</f>
        <v>1350000</v>
      </c>
      <c r="H19" s="6">
        <f>+H8</f>
        <v>0</v>
      </c>
      <c r="I19" s="6">
        <f>+I8</f>
        <v>0</v>
      </c>
      <c r="J19" s="6">
        <f>+J8</f>
        <v>0</v>
      </c>
      <c r="K19" s="6">
        <f>+H19+I19-J19</f>
        <v>0</v>
      </c>
      <c r="L19" s="6">
        <f>+G19-K19</f>
        <v>1350000</v>
      </c>
      <c r="M19" s="6">
        <f>+C19-H19</f>
        <v>800000</v>
      </c>
      <c r="N19" s="13">
        <f>+M19-'anexo BU - 2018'!K34</f>
        <v>0</v>
      </c>
    </row>
    <row r="20" spans="2:14" x14ac:dyDescent="0.25"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2:14" x14ac:dyDescent="0.25">
      <c r="B21" s="8" t="s">
        <v>15</v>
      </c>
      <c r="C21" s="10">
        <f t="shared" ref="C21:K21" si="1">+SUM(C18:C20)</f>
        <v>2342322.5</v>
      </c>
      <c r="D21" s="10">
        <f t="shared" si="1"/>
        <v>0</v>
      </c>
      <c r="E21" s="10">
        <f t="shared" si="1"/>
        <v>550000</v>
      </c>
      <c r="F21" s="10">
        <f t="shared" si="1"/>
        <v>0</v>
      </c>
      <c r="G21" s="10">
        <f t="shared" si="1"/>
        <v>2892322.5</v>
      </c>
      <c r="H21" s="10">
        <f t="shared" si="1"/>
        <v>288544.5</v>
      </c>
      <c r="I21" s="10">
        <f t="shared" si="1"/>
        <v>156722.25</v>
      </c>
      <c r="J21" s="10">
        <f t="shared" si="1"/>
        <v>0</v>
      </c>
      <c r="K21" s="10">
        <f t="shared" si="1"/>
        <v>445266.75</v>
      </c>
      <c r="L21" s="10">
        <f>+G21-K21</f>
        <v>2447055.75</v>
      </c>
      <c r="M21" s="12" t="s">
        <v>20</v>
      </c>
    </row>
    <row r="22" spans="2:14" x14ac:dyDescent="0.25">
      <c r="B22" s="8" t="s">
        <v>16</v>
      </c>
      <c r="C22" s="10">
        <f>+G22+F22-D22</f>
        <v>2119372.5</v>
      </c>
      <c r="D22" s="10">
        <f>+'anexo BU - 2018'!D36</f>
        <v>1024100</v>
      </c>
      <c r="E22" s="10">
        <f>+'anexo BU - 2017'!E21</f>
        <v>0</v>
      </c>
      <c r="F22" s="10">
        <f>+'anexo BU - 2018'!E36</f>
        <v>801150</v>
      </c>
      <c r="G22" s="10">
        <f>+C21</f>
        <v>2342322.5</v>
      </c>
      <c r="H22" s="10">
        <f>+K22+J22-I22</f>
        <v>211937.25</v>
      </c>
      <c r="I22" s="10">
        <f>+'anexo BU - 2018'!H36</f>
        <v>156722.25</v>
      </c>
      <c r="J22" s="10">
        <f>+'anexo BU - 2018'!I36</f>
        <v>80115.000000000015</v>
      </c>
      <c r="K22" s="10">
        <f>+H21</f>
        <v>288544.5</v>
      </c>
      <c r="L22" s="12" t="s">
        <v>20</v>
      </c>
      <c r="M22" s="10">
        <f>+G22-K22</f>
        <v>2053778</v>
      </c>
    </row>
    <row r="25" spans="2:14" x14ac:dyDescent="0.25">
      <c r="B25" s="4" t="s">
        <v>37</v>
      </c>
    </row>
    <row r="26" spans="2:14" x14ac:dyDescent="0.25">
      <c r="B26" s="4"/>
    </row>
    <row r="27" spans="2:14" x14ac:dyDescent="0.25">
      <c r="B27" s="24" t="s">
        <v>14</v>
      </c>
      <c r="C27" s="23" t="s">
        <v>8</v>
      </c>
      <c r="D27" s="23"/>
      <c r="E27" s="23"/>
      <c r="F27" s="23"/>
      <c r="G27" s="23"/>
      <c r="H27" s="23" t="s">
        <v>9</v>
      </c>
      <c r="I27" s="23"/>
      <c r="J27" s="23"/>
      <c r="K27" s="23"/>
      <c r="L27" s="23" t="s">
        <v>2</v>
      </c>
      <c r="M27" s="23"/>
    </row>
    <row r="28" spans="2:14" x14ac:dyDescent="0.25">
      <c r="B28" s="24"/>
      <c r="C28" s="11" t="s">
        <v>6</v>
      </c>
      <c r="D28" s="11" t="s">
        <v>0</v>
      </c>
      <c r="E28" s="11" t="s">
        <v>35</v>
      </c>
      <c r="F28" s="11" t="s">
        <v>1</v>
      </c>
      <c r="G28" s="11" t="s">
        <v>7</v>
      </c>
      <c r="H28" s="11" t="s">
        <v>10</v>
      </c>
      <c r="I28" s="11" t="s">
        <v>11</v>
      </c>
      <c r="J28" s="11" t="s">
        <v>12</v>
      </c>
      <c r="K28" s="11" t="s">
        <v>13</v>
      </c>
      <c r="L28" s="11" t="s">
        <v>5</v>
      </c>
      <c r="M28" s="11" t="s">
        <v>17</v>
      </c>
    </row>
    <row r="29" spans="2:14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2:14" x14ac:dyDescent="0.25">
      <c r="B30" s="7" t="s">
        <v>4</v>
      </c>
      <c r="C30" s="6">
        <f>+C18*datos!$A$99</f>
        <v>2375176.65</v>
      </c>
      <c r="D30" s="6">
        <f>+D18*datos!$A$99</f>
        <v>0</v>
      </c>
      <c r="E30" s="6">
        <f>+E18*datos!$A$99</f>
        <v>0</v>
      </c>
      <c r="F30" s="6">
        <f>+F18*datos!$A$99</f>
        <v>0</v>
      </c>
      <c r="G30" s="6">
        <f>+C30+D30+E30-F30</f>
        <v>2375176.65</v>
      </c>
      <c r="H30" s="6">
        <f>+H18*datos!$A$99</f>
        <v>444358.53</v>
      </c>
      <c r="I30" s="6">
        <f>+I18*datos!$A$99</f>
        <v>241352.26500000001</v>
      </c>
      <c r="J30" s="6">
        <v>0</v>
      </c>
      <c r="K30" s="6">
        <f>+H30+I30-J30</f>
        <v>685710.79500000004</v>
      </c>
      <c r="L30" s="6">
        <f>+G30-K30</f>
        <v>1689465.855</v>
      </c>
      <c r="M30" s="6">
        <f>+C30-H30</f>
        <v>1930818.1199999999</v>
      </c>
      <c r="N30" s="13">
        <f>+M30/M18-datos!A99</f>
        <v>0</v>
      </c>
    </row>
    <row r="31" spans="2:14" x14ac:dyDescent="0.25">
      <c r="B31" s="7" t="s">
        <v>33</v>
      </c>
      <c r="C31" s="6">
        <f>+C19*datos!$A$99</f>
        <v>1232000</v>
      </c>
      <c r="D31" s="6">
        <f>+D19*datos!$A$99</f>
        <v>0</v>
      </c>
      <c r="E31" s="6">
        <f>+datos!F118-(datos!I83*datos!A99)</f>
        <v>118000</v>
      </c>
      <c r="F31" s="6">
        <f>+F19*datos!$A$99</f>
        <v>0</v>
      </c>
      <c r="G31" s="6">
        <f>+C31+D31+E31-F31</f>
        <v>1350000</v>
      </c>
      <c r="H31" s="6">
        <f>+H19</f>
        <v>0</v>
      </c>
      <c r="I31" s="6">
        <f>+I19</f>
        <v>0</v>
      </c>
      <c r="J31" s="6">
        <f>+J19</f>
        <v>0</v>
      </c>
      <c r="K31" s="6">
        <f>+H31+I31-J31</f>
        <v>0</v>
      </c>
      <c r="L31" s="6">
        <f>+G31-K31</f>
        <v>1350000</v>
      </c>
      <c r="M31" s="6">
        <f>+C31-H31</f>
        <v>1232000</v>
      </c>
      <c r="N31" s="13">
        <f>+M31/M19-datos!A99</f>
        <v>0</v>
      </c>
    </row>
    <row r="32" spans="2:14" x14ac:dyDescent="0.25"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2:13" x14ac:dyDescent="0.25">
      <c r="B33" s="8" t="s">
        <v>15</v>
      </c>
      <c r="C33" s="10">
        <f t="shared" ref="C33:K33" si="2">+SUM(C30:C32)</f>
        <v>3607176.65</v>
      </c>
      <c r="D33" s="10">
        <f t="shared" si="2"/>
        <v>0</v>
      </c>
      <c r="E33" s="10">
        <f t="shared" si="2"/>
        <v>118000</v>
      </c>
      <c r="F33" s="10">
        <f t="shared" si="2"/>
        <v>0</v>
      </c>
      <c r="G33" s="10">
        <f t="shared" si="2"/>
        <v>3725176.65</v>
      </c>
      <c r="H33" s="10">
        <f t="shared" si="2"/>
        <v>444358.53</v>
      </c>
      <c r="I33" s="10">
        <f t="shared" si="2"/>
        <v>241352.26500000001</v>
      </c>
      <c r="J33" s="10">
        <f t="shared" si="2"/>
        <v>0</v>
      </c>
      <c r="K33" s="10">
        <f t="shared" si="2"/>
        <v>685710.79500000004</v>
      </c>
      <c r="L33" s="10">
        <f>+G33-K33</f>
        <v>3039465.855</v>
      </c>
      <c r="M33" s="12" t="s">
        <v>20</v>
      </c>
    </row>
    <row r="34" spans="2:13" x14ac:dyDescent="0.25">
      <c r="B34" s="8" t="s">
        <v>16</v>
      </c>
      <c r="C34" s="10">
        <f>+G34+F34-E34-D34</f>
        <v>3263833.6500000004</v>
      </c>
      <c r="D34" s="10">
        <f>+D22*datos!$A$99</f>
        <v>1577114</v>
      </c>
      <c r="E34" s="10">
        <f>+E22*datos!$A$99</f>
        <v>0</v>
      </c>
      <c r="F34" s="10">
        <f>+F22*datos!$A$99</f>
        <v>1233771</v>
      </c>
      <c r="G34" s="10">
        <f>+C33</f>
        <v>3607176.65</v>
      </c>
      <c r="H34" s="10">
        <f>+K34+J34-I34</f>
        <v>326383.36499999999</v>
      </c>
      <c r="I34" s="10">
        <f>+I22*datos!$A$99</f>
        <v>241352.26500000001</v>
      </c>
      <c r="J34" s="10">
        <f>+J22*datos!$A$99</f>
        <v>123377.10000000002</v>
      </c>
      <c r="K34" s="10">
        <f>+H33</f>
        <v>444358.53</v>
      </c>
      <c r="L34" s="12" t="s">
        <v>20</v>
      </c>
      <c r="M34" s="10">
        <f>+G34-K34</f>
        <v>3162818.12</v>
      </c>
    </row>
  </sheetData>
  <mergeCells count="12">
    <mergeCell ref="B27:B28"/>
    <mergeCell ref="C27:G27"/>
    <mergeCell ref="H27:K27"/>
    <mergeCell ref="L27:M27"/>
    <mergeCell ref="B4:B5"/>
    <mergeCell ref="C4:G4"/>
    <mergeCell ref="H4:K4"/>
    <mergeCell ref="L4:M4"/>
    <mergeCell ref="B15:B16"/>
    <mergeCell ref="C15:G15"/>
    <mergeCell ref="H15:K15"/>
    <mergeCell ref="L15:M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anexo BU - 2017</vt:lpstr>
      <vt:lpstr>anexo BU - 2018</vt:lpstr>
      <vt:lpstr>anexo BU - 2019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poramora sepo</dc:creator>
  <cp:lastModifiedBy>Nuria Gutierrez</cp:lastModifiedBy>
  <dcterms:created xsi:type="dcterms:W3CDTF">2019-09-07T22:58:04Z</dcterms:created>
  <dcterms:modified xsi:type="dcterms:W3CDTF">2023-09-11T00:19:12Z</dcterms:modified>
</cp:coreProperties>
</file>