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8" windowWidth="23256" windowHeight="10056" activeTab="3"/>
  </bookViews>
  <sheets>
    <sheet name="Enunciado 1 " sheetId="4" r:id="rId1"/>
    <sheet name="Solución 1" sheetId="5" r:id="rId2"/>
    <sheet name="Enunciado 2" sheetId="7" r:id="rId3"/>
    <sheet name="Solucion 2" sheetId="8" r:id="rId4"/>
    <sheet name="Hoja1" sheetId="9" r:id="rId5"/>
  </sheets>
  <calcPr calcId="145621"/>
</workbook>
</file>

<file path=xl/calcChain.xml><?xml version="1.0" encoding="utf-8"?>
<calcChain xmlns="http://schemas.openxmlformats.org/spreadsheetml/2006/main">
  <c r="C43" i="8" l="1"/>
  <c r="K88" i="7" l="1"/>
  <c r="K102" i="8" l="1"/>
  <c r="J102" i="8"/>
  <c r="D112" i="9" l="1"/>
  <c r="D114" i="9" s="1"/>
  <c r="C112" i="9"/>
  <c r="C114" i="9" s="1"/>
  <c r="F111" i="9"/>
  <c r="F112" i="9" s="1"/>
  <c r="F114" i="9" s="1"/>
  <c r="M110" i="9"/>
  <c r="M112" i="9" s="1"/>
  <c r="K110" i="9"/>
  <c r="K112" i="9" s="1"/>
  <c r="J110" i="9"/>
  <c r="J112" i="9" s="1"/>
  <c r="M109" i="9"/>
  <c r="D106" i="9"/>
  <c r="D104" i="9"/>
  <c r="C104" i="9"/>
  <c r="C106" i="9" s="1"/>
  <c r="K103" i="9"/>
  <c r="K105" i="9" s="1"/>
  <c r="J103" i="9"/>
  <c r="J105" i="9" s="1"/>
  <c r="F103" i="9"/>
  <c r="F104" i="9" s="1"/>
  <c r="F106" i="9" s="1"/>
  <c r="M102" i="9"/>
  <c r="M103" i="9" s="1"/>
  <c r="M105" i="9" s="1"/>
  <c r="K97" i="9"/>
  <c r="K114" i="9" s="1"/>
  <c r="J97" i="9"/>
  <c r="J114" i="9" s="1"/>
  <c r="D96" i="9"/>
  <c r="C96" i="9"/>
  <c r="M95" i="9"/>
  <c r="F95" i="9"/>
  <c r="M94" i="9"/>
  <c r="F94" i="9"/>
  <c r="M93" i="9"/>
  <c r="F93" i="9"/>
  <c r="M92" i="9"/>
  <c r="F92" i="9"/>
  <c r="M91" i="9"/>
  <c r="F91" i="9"/>
  <c r="M90" i="9"/>
  <c r="F90" i="9"/>
  <c r="M89" i="9"/>
  <c r="M88" i="9"/>
  <c r="D87" i="9"/>
  <c r="D98" i="9" s="1"/>
  <c r="C87" i="9"/>
  <c r="C98" i="9" s="1"/>
  <c r="M86" i="9"/>
  <c r="F86" i="9"/>
  <c r="F87" i="9" s="1"/>
  <c r="M85" i="9"/>
  <c r="K80" i="9"/>
  <c r="J80" i="9"/>
  <c r="D80" i="9"/>
  <c r="C80" i="9"/>
  <c r="M79" i="9"/>
  <c r="F79" i="9"/>
  <c r="M78" i="9"/>
  <c r="F78" i="9"/>
  <c r="F64" i="9"/>
  <c r="F60" i="9"/>
  <c r="F56" i="9"/>
  <c r="F55" i="9"/>
  <c r="F54" i="9"/>
  <c r="F53" i="9"/>
  <c r="F52" i="9"/>
  <c r="D49" i="9"/>
  <c r="D57" i="9" s="1"/>
  <c r="D62" i="9" s="1"/>
  <c r="D66" i="9" s="1"/>
  <c r="C49" i="9"/>
  <c r="C57" i="9" s="1"/>
  <c r="C62" i="9" s="1"/>
  <c r="C66" i="9" s="1"/>
  <c r="F48" i="9"/>
  <c r="F47" i="9"/>
  <c r="F35" i="9"/>
  <c r="D32" i="9"/>
  <c r="C32" i="9"/>
  <c r="G29" i="9"/>
  <c r="G33" i="9" s="1"/>
  <c r="D29" i="9"/>
  <c r="F28" i="9"/>
  <c r="F27" i="9"/>
  <c r="C26" i="9"/>
  <c r="F26" i="9" s="1"/>
  <c r="C22" i="9"/>
  <c r="G21" i="9"/>
  <c r="D21" i="9"/>
  <c r="C21" i="9"/>
  <c r="F20" i="9"/>
  <c r="F21" i="9" s="1"/>
  <c r="G18" i="9"/>
  <c r="G22" i="9" s="1"/>
  <c r="D18" i="9"/>
  <c r="D22" i="9" s="1"/>
  <c r="C18" i="9"/>
  <c r="F17" i="9"/>
  <c r="F16" i="9"/>
  <c r="F15" i="9"/>
  <c r="F14" i="9"/>
  <c r="D9" i="9"/>
  <c r="C9" i="9"/>
  <c r="D6" i="9"/>
  <c r="D4" i="9"/>
  <c r="C4" i="9"/>
  <c r="C6" i="9" s="1"/>
  <c r="C29" i="9" l="1"/>
  <c r="C33" i="9" s="1"/>
  <c r="C38" i="9" s="1"/>
  <c r="G38" i="9"/>
  <c r="G39" i="9" s="1"/>
  <c r="C116" i="9"/>
  <c r="F18" i="9"/>
  <c r="F22" i="9" s="1"/>
  <c r="F29" i="9"/>
  <c r="F33" i="9" s="1"/>
  <c r="D33" i="9"/>
  <c r="D38" i="9" s="1"/>
  <c r="D39" i="9" s="1"/>
  <c r="F80" i="9"/>
  <c r="M97" i="9"/>
  <c r="M114" i="9" s="1"/>
  <c r="F96" i="9"/>
  <c r="F98" i="9" s="1"/>
  <c r="F116" i="9" s="1"/>
  <c r="F49" i="9"/>
  <c r="F57" i="9" s="1"/>
  <c r="F62" i="9" s="1"/>
  <c r="F66" i="9" s="1"/>
  <c r="F69" i="9" s="1"/>
  <c r="M80" i="9"/>
  <c r="D116" i="9"/>
  <c r="M114" i="8"/>
  <c r="M115" i="8" s="1"/>
  <c r="M117" i="8" s="1"/>
  <c r="M107" i="8"/>
  <c r="M108" i="8" s="1"/>
  <c r="M110" i="8" s="1"/>
  <c r="M94" i="8"/>
  <c r="M95" i="8"/>
  <c r="M96" i="8"/>
  <c r="M97" i="8"/>
  <c r="M98" i="8"/>
  <c r="M99" i="8"/>
  <c r="M100" i="8"/>
  <c r="M93" i="8"/>
  <c r="M91" i="8"/>
  <c r="M90" i="8"/>
  <c r="M84" i="8"/>
  <c r="M83" i="8"/>
  <c r="K115" i="8"/>
  <c r="K117" i="8" s="1"/>
  <c r="J115" i="8"/>
  <c r="J117" i="8" s="1"/>
  <c r="K108" i="8"/>
  <c r="K110" i="8" s="1"/>
  <c r="J108" i="8"/>
  <c r="J110" i="8" s="1"/>
  <c r="K85" i="8"/>
  <c r="J85" i="8"/>
  <c r="I88" i="7"/>
  <c r="D33" i="7"/>
  <c r="D30" i="7"/>
  <c r="D34" i="7" s="1"/>
  <c r="D19" i="7"/>
  <c r="D22" i="7"/>
  <c r="K101" i="7"/>
  <c r="K103" i="7" s="1"/>
  <c r="I101" i="7"/>
  <c r="I103" i="7" s="1"/>
  <c r="K94" i="7"/>
  <c r="K96" i="7" s="1"/>
  <c r="I94" i="7"/>
  <c r="I96" i="7" s="1"/>
  <c r="K71" i="7"/>
  <c r="I71" i="7"/>
  <c r="G30" i="7"/>
  <c r="G34" i="7" s="1"/>
  <c r="G19" i="7"/>
  <c r="G23" i="7" s="1"/>
  <c r="M85" i="8" l="1"/>
  <c r="M102" i="8"/>
  <c r="M119" i="8" s="1"/>
  <c r="I105" i="7"/>
  <c r="F38" i="9"/>
  <c r="F39" i="9" s="1"/>
  <c r="C39" i="9"/>
  <c r="K119" i="8"/>
  <c r="J119" i="8"/>
  <c r="K105" i="7"/>
  <c r="D23" i="7"/>
  <c r="G36" i="7"/>
  <c r="G37" i="7" s="1"/>
  <c r="F18" i="8"/>
  <c r="F116" i="8"/>
  <c r="F117" i="8" s="1"/>
  <c r="F119" i="8" s="1"/>
  <c r="F108" i="8"/>
  <c r="F109" i="8" s="1"/>
  <c r="F111" i="8" s="1"/>
  <c r="F96" i="8"/>
  <c r="F97" i="8"/>
  <c r="F98" i="8"/>
  <c r="F99" i="8"/>
  <c r="F100" i="8"/>
  <c r="F95" i="8"/>
  <c r="F91" i="8"/>
  <c r="F92" i="8" s="1"/>
  <c r="F84" i="8"/>
  <c r="F83" i="8"/>
  <c r="D117" i="8"/>
  <c r="D119" i="8" s="1"/>
  <c r="D109" i="8"/>
  <c r="D111" i="8" s="1"/>
  <c r="D101" i="8"/>
  <c r="D92" i="8"/>
  <c r="D85" i="8"/>
  <c r="F69" i="8"/>
  <c r="F65" i="8"/>
  <c r="F58" i="8"/>
  <c r="F59" i="8"/>
  <c r="F60" i="8"/>
  <c r="F61" i="8"/>
  <c r="F57" i="8"/>
  <c r="F53" i="8"/>
  <c r="F52" i="8"/>
  <c r="D11" i="8"/>
  <c r="C11" i="8"/>
  <c r="C13" i="8" s="1"/>
  <c r="F38" i="8"/>
  <c r="D4" i="8"/>
  <c r="C4" i="8"/>
  <c r="C6" i="8" s="1"/>
  <c r="C24" i="8"/>
  <c r="F30" i="8"/>
  <c r="F31" i="8"/>
  <c r="F19" i="8"/>
  <c r="F20" i="8"/>
  <c r="F17" i="8"/>
  <c r="D54" i="8"/>
  <c r="D35" i="8"/>
  <c r="D32" i="8"/>
  <c r="D24" i="8"/>
  <c r="D21" i="8"/>
  <c r="C117" i="8"/>
  <c r="C119" i="8" s="1"/>
  <c r="C109" i="8"/>
  <c r="C111" i="8" s="1"/>
  <c r="C101" i="8"/>
  <c r="C92" i="8"/>
  <c r="C85" i="8"/>
  <c r="C54" i="8"/>
  <c r="C62" i="8" s="1"/>
  <c r="C67" i="8" s="1"/>
  <c r="C71" i="8" s="1"/>
  <c r="C35" i="8"/>
  <c r="C29" i="8"/>
  <c r="C32" i="8" s="1"/>
  <c r="C21" i="8"/>
  <c r="D26" i="4"/>
  <c r="F19" i="7"/>
  <c r="F45" i="7"/>
  <c r="F53" i="7" s="1"/>
  <c r="F30" i="7"/>
  <c r="F85" i="8" l="1"/>
  <c r="D36" i="8"/>
  <c r="D62" i="8"/>
  <c r="D67" i="8" s="1"/>
  <c r="D71" i="8" s="1"/>
  <c r="D25" i="8"/>
  <c r="F29" i="8"/>
  <c r="F32" i="8" s="1"/>
  <c r="F36" i="8" s="1"/>
  <c r="C25" i="8"/>
  <c r="D103" i="8"/>
  <c r="D121" i="8" s="1"/>
  <c r="F101" i="8"/>
  <c r="F103" i="8" s="1"/>
  <c r="F121" i="8" s="1"/>
  <c r="F21" i="8"/>
  <c r="F54" i="8"/>
  <c r="F62" i="8" s="1"/>
  <c r="F67" i="8" s="1"/>
  <c r="F71" i="8" s="1"/>
  <c r="F74" i="8" s="1"/>
  <c r="F23" i="8"/>
  <c r="F24" i="8" s="1"/>
  <c r="C103" i="8"/>
  <c r="C121" i="8" s="1"/>
  <c r="C36" i="8"/>
  <c r="C44" i="8" s="1"/>
  <c r="E87" i="7"/>
  <c r="E103" i="7"/>
  <c r="E105" i="7" s="1"/>
  <c r="C103" i="7"/>
  <c r="C105" i="7" s="1"/>
  <c r="C84" i="7"/>
  <c r="C95" i="7"/>
  <c r="C77" i="7"/>
  <c r="E70" i="7"/>
  <c r="C70" i="7"/>
  <c r="C27" i="7"/>
  <c r="D41" i="8" l="1"/>
  <c r="D44" i="8" s="1"/>
  <c r="C30" i="7"/>
  <c r="F25" i="8"/>
  <c r="D72" i="5"/>
  <c r="D58" i="4"/>
  <c r="D60" i="4" s="1"/>
  <c r="D65" i="4" s="1"/>
  <c r="D36" i="7"/>
  <c r="D37" i="7" s="1"/>
  <c r="E95" i="7"/>
  <c r="E97" i="7" s="1"/>
  <c r="E78" i="7"/>
  <c r="E71" i="7"/>
  <c r="F33" i="7"/>
  <c r="F22" i="7"/>
  <c r="C97" i="7"/>
  <c r="C87" i="7"/>
  <c r="C78" i="7"/>
  <c r="C71" i="7"/>
  <c r="C45" i="7"/>
  <c r="C33" i="7"/>
  <c r="C19" i="7"/>
  <c r="F94" i="5"/>
  <c r="F99" i="5"/>
  <c r="F100" i="5"/>
  <c r="F101" i="5"/>
  <c r="F102" i="5"/>
  <c r="F103" i="5"/>
  <c r="F104" i="5"/>
  <c r="F112" i="5"/>
  <c r="F113" i="5" s="1"/>
  <c r="F115" i="5" s="1"/>
  <c r="F93" i="5"/>
  <c r="F85" i="5"/>
  <c r="F86" i="5"/>
  <c r="E87" i="5"/>
  <c r="D65" i="5"/>
  <c r="E65" i="5"/>
  <c r="D73" i="5" l="1"/>
  <c r="D78" i="5" s="1"/>
  <c r="F41" i="8"/>
  <c r="F44" i="8" s="1"/>
  <c r="F23" i="7"/>
  <c r="F95" i="5"/>
  <c r="F34" i="7"/>
  <c r="C53" i="7"/>
  <c r="F58" i="7"/>
  <c r="C89" i="7"/>
  <c r="C107" i="7" s="1"/>
  <c r="C34" i="7"/>
  <c r="E89" i="7"/>
  <c r="E107" i="7" s="1"/>
  <c r="F87" i="5"/>
  <c r="F76" i="5"/>
  <c r="F69" i="5"/>
  <c r="F70" i="5"/>
  <c r="F71" i="5"/>
  <c r="F72" i="5"/>
  <c r="F64" i="5"/>
  <c r="F63" i="5"/>
  <c r="F34" i="5"/>
  <c r="F35" i="5"/>
  <c r="F36" i="5"/>
  <c r="F39" i="5"/>
  <c r="F40" i="5" s="1"/>
  <c r="F46" i="5"/>
  <c r="F47" i="5"/>
  <c r="F54" i="5"/>
  <c r="F33" i="5"/>
  <c r="C27" i="5"/>
  <c r="C11" i="5"/>
  <c r="C13" i="5" s="1"/>
  <c r="D13" i="5" s="1"/>
  <c r="F62" i="7" l="1"/>
  <c r="C56" i="7" s="1"/>
  <c r="C21" i="7" s="1"/>
  <c r="F36" i="7"/>
  <c r="F65" i="5"/>
  <c r="F37" i="5"/>
  <c r="F41" i="5" s="1"/>
  <c r="D20" i="5"/>
  <c r="F13" i="5"/>
  <c r="D6" i="5"/>
  <c r="C4" i="5"/>
  <c r="D113" i="5"/>
  <c r="D115" i="5" s="1"/>
  <c r="C113" i="5"/>
  <c r="C115" i="5" s="1"/>
  <c r="D98" i="5"/>
  <c r="D105" i="5" s="1"/>
  <c r="C98" i="5"/>
  <c r="D95" i="5"/>
  <c r="C95" i="5"/>
  <c r="D87" i="5"/>
  <c r="C87" i="5"/>
  <c r="C68" i="5"/>
  <c r="F68" i="5" s="1"/>
  <c r="C65" i="5"/>
  <c r="D51" i="5"/>
  <c r="C51" i="5"/>
  <c r="D45" i="5"/>
  <c r="D48" i="5" s="1"/>
  <c r="C45" i="5"/>
  <c r="D40" i="5"/>
  <c r="C40" i="5"/>
  <c r="D37" i="5"/>
  <c r="C37" i="5"/>
  <c r="D84" i="4"/>
  <c r="C84" i="4"/>
  <c r="C55" i="4"/>
  <c r="C22" i="7" l="1"/>
  <c r="C58" i="7"/>
  <c r="C62" i="7" s="1"/>
  <c r="F37" i="7"/>
  <c r="C105" i="5"/>
  <c r="C107" i="5" s="1"/>
  <c r="C117" i="5" s="1"/>
  <c r="F98" i="5"/>
  <c r="F105" i="5" s="1"/>
  <c r="F107" i="5" s="1"/>
  <c r="F117" i="5" s="1"/>
  <c r="C48" i="5"/>
  <c r="C52" i="5" s="1"/>
  <c r="F45" i="5"/>
  <c r="F48" i="5" s="1"/>
  <c r="F52" i="5" s="1"/>
  <c r="C73" i="5"/>
  <c r="C78" i="5" s="1"/>
  <c r="F73" i="5"/>
  <c r="C41" i="5"/>
  <c r="F6" i="5"/>
  <c r="D18" i="5"/>
  <c r="D41" i="5"/>
  <c r="D107" i="5"/>
  <c r="D117" i="5" s="1"/>
  <c r="D52" i="5"/>
  <c r="F78" i="5" l="1"/>
  <c r="F80" i="5" s="1"/>
  <c r="C23" i="7"/>
  <c r="C36" i="7" s="1"/>
  <c r="C56" i="5"/>
  <c r="C57" i="5"/>
  <c r="D56" i="5"/>
  <c r="D57" i="5" s="1"/>
  <c r="C34" i="4"/>
  <c r="D34" i="4"/>
  <c r="D37" i="4" s="1"/>
  <c r="D91" i="4"/>
  <c r="D81" i="4"/>
  <c r="D73" i="4"/>
  <c r="D99" i="4"/>
  <c r="D101" i="4" s="1"/>
  <c r="C37" i="7" l="1"/>
  <c r="F56" i="5"/>
  <c r="F57" i="5" s="1"/>
  <c r="C99" i="4"/>
  <c r="C101" i="4" s="1"/>
  <c r="D93" i="4"/>
  <c r="D103" i="4" s="1"/>
  <c r="C73" i="4"/>
  <c r="C91" i="4"/>
  <c r="C81" i="4"/>
  <c r="C52" i="4"/>
  <c r="D40" i="4"/>
  <c r="C40" i="4"/>
  <c r="C37" i="4"/>
  <c r="D29" i="4"/>
  <c r="C29" i="4"/>
  <c r="C26" i="4"/>
  <c r="C60" i="4" l="1"/>
  <c r="C65" i="4" s="1"/>
  <c r="C93" i="4"/>
  <c r="C103" i="4" s="1"/>
  <c r="C30" i="4"/>
  <c r="D41" i="4"/>
  <c r="C41" i="4"/>
  <c r="D30" i="4"/>
  <c r="C43" i="4" l="1"/>
  <c r="C44" i="4" s="1"/>
  <c r="D43" i="4"/>
  <c r="D44" i="4" l="1"/>
</calcChain>
</file>

<file path=xl/sharedStrings.xml><?xml version="1.0" encoding="utf-8"?>
<sst xmlns="http://schemas.openxmlformats.org/spreadsheetml/2006/main" count="625" uniqueCount="156">
  <si>
    <t>Actividades Operativas</t>
  </si>
  <si>
    <t>Controlada</t>
  </si>
  <si>
    <t>Activo</t>
  </si>
  <si>
    <t>Pasivo</t>
  </si>
  <si>
    <t>Patrimonio Neto</t>
  </si>
  <si>
    <t>Gastos</t>
  </si>
  <si>
    <t>Actividades de Inversión</t>
  </si>
  <si>
    <t>Activo Corriente</t>
  </si>
  <si>
    <t>Total Activo Corriente</t>
  </si>
  <si>
    <t>Activo No Corriente</t>
  </si>
  <si>
    <t>Total Activo No Corriente</t>
  </si>
  <si>
    <t>Total Activo</t>
  </si>
  <si>
    <t>Pasivo Corriente</t>
  </si>
  <si>
    <t>Total Pasivo Corriente</t>
  </si>
  <si>
    <t>Pasivo No Corriente</t>
  </si>
  <si>
    <t>No Posee</t>
  </si>
  <si>
    <t>Total Pasivo No Corriente</t>
  </si>
  <si>
    <t>Total Pasivo</t>
  </si>
  <si>
    <t>Según Estado Correspondiente</t>
  </si>
  <si>
    <t>Total Pasivo + P.Neto</t>
  </si>
  <si>
    <t xml:space="preserve">Subtotal      </t>
  </si>
  <si>
    <t>Gastos de Comercialización</t>
  </si>
  <si>
    <t>Gastos de Administración</t>
  </si>
  <si>
    <t>Gastos Financieros</t>
  </si>
  <si>
    <t>Gastos Impositivos</t>
  </si>
  <si>
    <t>Otros Ingresos</t>
  </si>
  <si>
    <t>Resultado del Ejercicio antes del 
Impuesto a las Ganancias</t>
  </si>
  <si>
    <t>Impuesto a las Ganancias</t>
  </si>
  <si>
    <t>Resultado del Ejercicio</t>
  </si>
  <si>
    <t>ESTADO DE RESULTADOS</t>
  </si>
  <si>
    <t>ESTADO DE SITUACION PATRIMONIAL</t>
  </si>
  <si>
    <t>Orígenes</t>
  </si>
  <si>
    <t>·        Cobranzas por ventas de bs. y servicios</t>
  </si>
  <si>
    <t>·        Diferencias de cambio</t>
  </si>
  <si>
    <t xml:space="preserve">   Total Orígenes</t>
  </si>
  <si>
    <t>Aplicaciones</t>
  </si>
  <si>
    <t>·        Pagos a proveedores de bs. y servicios</t>
  </si>
  <si>
    <t>·        Pagos gastos comercialización</t>
  </si>
  <si>
    <t>·        Pago de Impuestos</t>
  </si>
  <si>
    <t>·        Pago de intereses</t>
  </si>
  <si>
    <t>·        Pago gastos administración</t>
  </si>
  <si>
    <t>·        Diferencias de Cambio</t>
  </si>
  <si>
    <t xml:space="preserve">   Total Aplicaciones</t>
  </si>
  <si>
    <t>Variaciones del efectivo</t>
  </si>
  <si>
    <t>Efectivo al inicio del ejercicio</t>
  </si>
  <si>
    <t>Efectivo al cierre del ejercicio</t>
  </si>
  <si>
    <t>Variación neta del efectivo</t>
  </si>
  <si>
    <t>Causas de las variaciones del efectivos</t>
  </si>
  <si>
    <t>Flujo neto de efectivo generado</t>
  </si>
  <si>
    <t>por la actividades operativas</t>
  </si>
  <si>
    <t>Inversiones</t>
  </si>
  <si>
    <t>Controlante</t>
  </si>
  <si>
    <t>·        Inversiones permanentes</t>
  </si>
  <si>
    <t>por la actividades de inversión</t>
  </si>
  <si>
    <t>ESTADO DE FLUJO DE EFECTIVO</t>
  </si>
  <si>
    <t>Resultado inversiones permanentes</t>
  </si>
  <si>
    <r>
      <t>Ventas Netas</t>
    </r>
    <r>
      <rPr>
        <b/>
        <sz val="10"/>
        <color theme="1"/>
        <rFont val="Times New Roman"/>
        <family val="1"/>
      </rPr>
      <t xml:space="preserve"> </t>
    </r>
  </si>
  <si>
    <t xml:space="preserve">Costo de Ventas </t>
  </si>
  <si>
    <t xml:space="preserve">Caja y Bancos </t>
  </si>
  <si>
    <t xml:space="preserve">Ctas. por Cobrar por Ventas </t>
  </si>
  <si>
    <t xml:space="preserve">Créditos Fiscales </t>
  </si>
  <si>
    <t xml:space="preserve">Bienes de Cambio         </t>
  </si>
  <si>
    <t xml:space="preserve">Cuentas por Pagar </t>
  </si>
  <si>
    <t>Acreedores Impositivos</t>
  </si>
  <si>
    <t xml:space="preserve">Otras Cuentas por Pagar </t>
  </si>
  <si>
    <t xml:space="preserve">Controlante adquiere el 60% de las acciones con derecho a voto de Controlada en $ 1.344.444,03. </t>
  </si>
  <si>
    <t>Ambas empresas cierran sus balances el mismo día</t>
  </si>
  <si>
    <t>Durante el ejercicio económico se realizaron las siguientes operaciones entre Controlante y Controlada:</t>
  </si>
  <si>
    <t>Controlante vendió a Controlada mercaderías por la suma de $ 700.000 cuyo costo era de $ 450.000. Dicha mercadería se encuentra</t>
  </si>
  <si>
    <t>en existencia medida  a su costo de adquisición. En esa operación se abonaron $ 650.0000, quedando pendientes de cobro al cierre del ejercicio $ 50.000</t>
  </si>
  <si>
    <t>medidas a su valor corriente. El importe fue cancelado en su totalidad en efectivo.</t>
  </si>
  <si>
    <t>Ajustes</t>
  </si>
  <si>
    <t>Consolidado</t>
  </si>
  <si>
    <t>Medición al VPP</t>
  </si>
  <si>
    <t>Los activos netos identificables de Controlada se encuentran todos medidos a valores corrientes de la fecha de adquisición.</t>
  </si>
  <si>
    <t>El Capital de Controlada se compone de 1000 acciones y al momento de la compra el P.Neto era de $ 2.240.740,06</t>
  </si>
  <si>
    <t>Resultados no trascendidos a 3º</t>
  </si>
  <si>
    <t>P.Neto ajustado</t>
  </si>
  <si>
    <t>VPP por acción</t>
  </si>
  <si>
    <t>x 600=</t>
  </si>
  <si>
    <t>Patrimonio Neto de Controlada</t>
  </si>
  <si>
    <t>Resultado Inversión Ajustado</t>
  </si>
  <si>
    <t>Resultado de Controlada</t>
  </si>
  <si>
    <t>VPP por acción en resultado Controlada</t>
  </si>
  <si>
    <t>Participación Minoritaria</t>
  </si>
  <si>
    <t>Participación sobre el P.Neto de Controlada</t>
  </si>
  <si>
    <t>1615,79 x 400</t>
  </si>
  <si>
    <t>Participación sobre el resultado de Controlada</t>
  </si>
  <si>
    <t>-624,95 x 400</t>
  </si>
  <si>
    <t>Ajuste al Patrimonio Neto de Controlante por medición al VPP</t>
  </si>
  <si>
    <t>P.Neto Controlante</t>
  </si>
  <si>
    <t>Resultado de Inversión antes de ajustes</t>
  </si>
  <si>
    <t>Resultado de Inversión después de ajustes</t>
  </si>
  <si>
    <t>P.Neto Controlante ajustado</t>
  </si>
  <si>
    <t>Crédito por venta a Controlada</t>
  </si>
  <si>
    <t>Deuda por compra a Controlante</t>
  </si>
  <si>
    <t>Result.no trascendido a 3º</t>
  </si>
  <si>
    <t>Al momento de la adquisición, el saldo de la cuenta Caja de Controlada (unica cuenta del rubro Caja y Bancos) era de $ 1.000.000</t>
  </si>
  <si>
    <t>2022</t>
  </si>
  <si>
    <t>2023</t>
  </si>
  <si>
    <r>
      <t>Gastos</t>
    </r>
    <r>
      <rPr>
        <b/>
        <sz val="10"/>
        <color theme="1"/>
        <rFont val="Times New Roman"/>
        <family val="1"/>
      </rPr>
      <t xml:space="preserve"> </t>
    </r>
  </si>
  <si>
    <t>Gastos Previsionales</t>
  </si>
  <si>
    <t xml:space="preserve">Controlada distribuyó y abonó en efectivo dividendos por $ 200.000 </t>
  </si>
  <si>
    <t>Durante el ejercicio económico se dieron las siguientes operaciones:</t>
  </si>
  <si>
    <t>·        Pagos gastos previsionales</t>
  </si>
  <si>
    <t>Origenes</t>
  </si>
  <si>
    <t>·       Dividendos cobrados</t>
  </si>
  <si>
    <t>Actividades de Financiación</t>
  </si>
  <si>
    <t>·       Dividendos Pagados</t>
  </si>
  <si>
    <t xml:space="preserve">   Total Origenes</t>
  </si>
  <si>
    <t>por la actividades de financiación</t>
  </si>
  <si>
    <t>ajustes</t>
  </si>
  <si>
    <t>Participacion Minoritaria</t>
  </si>
  <si>
    <t>P.Neto Controlada</t>
  </si>
  <si>
    <t>Tenencia</t>
  </si>
  <si>
    <t>VPP</t>
  </si>
  <si>
    <t>P. Minoritaria</t>
  </si>
  <si>
    <t>Cálculo VPP tenencia</t>
  </si>
  <si>
    <t>Cáculo VPP Resultado</t>
  </si>
  <si>
    <t>Resultado inversión</t>
  </si>
  <si>
    <t>VPP Resultado</t>
  </si>
  <si>
    <t>Consolidado 2023</t>
  </si>
  <si>
    <t>Controlante vendió mercaderías a Controlada por $ 40000 que aún están pendientes de cobro. Las mercaderías están en existencia medidas a su valor corriente</t>
  </si>
  <si>
    <t>Controlada vendió mercaderías a Controlante por $ 1.000.000 cuyo costo era de $ 750.0000. Dicha mercadería se encuentra en existencia al cierre del ejercicio</t>
  </si>
  <si>
    <t>Varicacion de los Activos y pasivos Operativos</t>
  </si>
  <si>
    <t>Cobro Dividendos</t>
  </si>
  <si>
    <t>Variación Inversiones Permanentes</t>
  </si>
  <si>
    <t>Disminución/Aumento Creditos por Ventas</t>
  </si>
  <si>
    <t>Disminución/Aumento Creditos Fiscales</t>
  </si>
  <si>
    <t>Disminución/Aumento Bienes de Cambio</t>
  </si>
  <si>
    <t>Disminución/Aumento Cuentas por pagar</t>
  </si>
  <si>
    <t>Disminución/Aumento Acreedores impositivos</t>
  </si>
  <si>
    <t>Disminución/Amento Otras ctas. Por pagar</t>
  </si>
  <si>
    <t>ESTADO DE FLUJO DE EFECTIVO - Metodo Directo</t>
  </si>
  <si>
    <t>ESTADO DE FLUJO DE EFECTIVO - Metodo Indirecto</t>
  </si>
  <si>
    <t>ESTADO DE FLUJO DE EFECTIVO CONSOLIDADO - Metodo Directo</t>
  </si>
  <si>
    <t>ESTADO DE FLUJO DE EFECTIVO CONSOLIDADO - Metodo Indirecto</t>
  </si>
  <si>
    <t>Consolidado 2022</t>
  </si>
  <si>
    <t>Resultado Inversiones Permanentes</t>
  </si>
  <si>
    <t>Intereses devengados</t>
  </si>
  <si>
    <t>Intereses pagados</t>
  </si>
  <si>
    <t>Los gastos financieros de ambas empresas se componen de intereses pagados</t>
  </si>
  <si>
    <t>Disminución/Aumento Otras ctas. Por pagar</t>
  </si>
  <si>
    <t>Ejemplo 1 EFE consolidado</t>
  </si>
  <si>
    <t>Ejemplo 2 EFE Consolidado</t>
  </si>
  <si>
    <t>La Cuentas por pagar corresponden a deudas por compra de bienes y servicios</t>
  </si>
  <si>
    <t>Dentro de Otras cuentas por pagar se incluyen las deudas por gastos de administración</t>
  </si>
  <si>
    <t>ESTADO DE FLUJO DE EFECTIVO - Metodo directo</t>
  </si>
  <si>
    <t>Gastos financieros</t>
  </si>
  <si>
    <t>Las mercaderías que en el ejercicio anterior contenían resultados no trascendidos a terceros fueron vendidas en su totalidad en este ejercicio</t>
  </si>
  <si>
    <t>Medición contable</t>
  </si>
  <si>
    <t xml:space="preserve">Resultado inversión </t>
  </si>
  <si>
    <t>Corresponde al 60% de los resultado no trasc. Del ejercicio anterior</t>
  </si>
  <si>
    <t>Diferencia para medición al VPP</t>
  </si>
  <si>
    <t>Ajuste Resultados acumulados</t>
  </si>
  <si>
    <t>Total P.Neto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</si>
</sst>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 * #,##0.00_ ;_ * \-#,##0.00_ ;_ * &quot;-&quot;??_ ;_ @_ "/>
    <numFmt numFmtId="165" formatCode="_ * #,##0.00\ _ ;_ * \(#,##0.00\)_ ;_ * &quot;-&quot;??_ ;_ @_ 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u val="singleAccounting"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4" fontId="0" fillId="0" borderId="0" xfId="0" applyNumberFormat="1"/>
    <xf numFmtId="4" fontId="0" fillId="0" borderId="1" xfId="0" applyNumberFormat="1" applyBorder="1"/>
    <xf numFmtId="0" fontId="2" fillId="0" borderId="0" xfId="0" applyFont="1" applyBorder="1"/>
    <xf numFmtId="0" fontId="3" fillId="0" borderId="0" xfId="0" applyFont="1" applyBorder="1"/>
    <xf numFmtId="14" fontId="4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 indent="3"/>
    </xf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4" fontId="3" fillId="0" borderId="1" xfId="0" applyNumberFormat="1" applyFont="1" applyBorder="1"/>
    <xf numFmtId="0" fontId="5" fillId="0" borderId="0" xfId="0" applyFont="1" applyAlignment="1">
      <alignment horizontal="left"/>
    </xf>
    <xf numFmtId="4" fontId="5" fillId="0" borderId="0" xfId="0" applyNumberFormat="1" applyFont="1" applyAlignment="1">
      <alignment horizontal="left" indent="3"/>
    </xf>
    <xf numFmtId="164" fontId="3" fillId="0" borderId="2" xfId="0" applyNumberFormat="1" applyFont="1" applyBorder="1"/>
    <xf numFmtId="4" fontId="5" fillId="0" borderId="0" xfId="0" applyNumberFormat="1" applyFont="1" applyAlignment="1">
      <alignment horizontal="left" indent="12"/>
    </xf>
    <xf numFmtId="164" fontId="3" fillId="0" borderId="3" xfId="0" applyNumberFormat="1" applyFont="1" applyBorder="1"/>
    <xf numFmtId="0" fontId="6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left" indent="3"/>
    </xf>
    <xf numFmtId="0" fontId="3" fillId="0" borderId="5" xfId="0" applyFont="1" applyBorder="1"/>
    <xf numFmtId="164" fontId="3" fillId="0" borderId="0" xfId="0" applyNumberFormat="1" applyFont="1" applyBorder="1"/>
    <xf numFmtId="0" fontId="5" fillId="0" borderId="0" xfId="0" applyFont="1" applyBorder="1"/>
    <xf numFmtId="0" fontId="5" fillId="0" borderId="5" xfId="0" applyFont="1" applyBorder="1" applyAlignment="1">
      <alignment horizontal="left"/>
    </xf>
    <xf numFmtId="164" fontId="5" fillId="0" borderId="1" xfId="0" applyNumberFormat="1" applyFont="1" applyBorder="1"/>
    <xf numFmtId="0" fontId="5" fillId="0" borderId="5" xfId="0" applyFont="1" applyBorder="1"/>
    <xf numFmtId="164" fontId="3" fillId="0" borderId="5" xfId="0" applyNumberFormat="1" applyFont="1" applyBorder="1"/>
    <xf numFmtId="164" fontId="5" fillId="0" borderId="0" xfId="0" applyNumberFormat="1" applyFont="1"/>
    <xf numFmtId="0" fontId="6" fillId="0" borderId="5" xfId="0" applyFont="1" applyBorder="1"/>
    <xf numFmtId="0" fontId="6" fillId="0" borderId="0" xfId="0" applyFont="1" applyBorder="1"/>
    <xf numFmtId="4" fontId="5" fillId="0" borderId="0" xfId="0" applyNumberFormat="1" applyFont="1" applyBorder="1" applyAlignment="1">
      <alignment horizontal="left" indent="12"/>
    </xf>
    <xf numFmtId="165" fontId="7" fillId="0" borderId="0" xfId="0" applyNumberFormat="1" applyFont="1" applyBorder="1"/>
    <xf numFmtId="0" fontId="6" fillId="0" borderId="0" xfId="0" applyFont="1"/>
    <xf numFmtId="0" fontId="5" fillId="0" borderId="0" xfId="0" applyFont="1" applyAlignment="1">
      <alignment horizontal="left" indent="3"/>
    </xf>
    <xf numFmtId="165" fontId="3" fillId="0" borderId="0" xfId="0" applyNumberFormat="1" applyFont="1" applyBorder="1"/>
    <xf numFmtId="165" fontId="3" fillId="0" borderId="1" xfId="0" applyNumberFormat="1" applyFont="1" applyBorder="1"/>
    <xf numFmtId="165" fontId="3" fillId="0" borderId="3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wrapText="1" indent="3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0" borderId="0" xfId="0" applyNumberFormat="1" applyFont="1" applyAlignment="1">
      <alignment horizontal="center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12"/>
    </xf>
    <xf numFmtId="0" fontId="3" fillId="0" borderId="0" xfId="0" applyFont="1" applyAlignment="1">
      <alignment horizontal="left" indent="4"/>
    </xf>
    <xf numFmtId="0" fontId="5" fillId="0" borderId="0" xfId="0" applyFont="1" applyAlignment="1">
      <alignment horizontal="left" vertical="center" indent="3"/>
    </xf>
    <xf numFmtId="0" fontId="3" fillId="0" borderId="0" xfId="0" applyFont="1" applyAlignment="1">
      <alignment horizontal="left" indent="3"/>
    </xf>
    <xf numFmtId="0" fontId="2" fillId="0" borderId="0" xfId="0" applyFont="1" applyAlignment="1">
      <alignment horizontal="left" indent="2"/>
    </xf>
    <xf numFmtId="43" fontId="0" fillId="0" borderId="0" xfId="0" applyNumberFormat="1"/>
    <xf numFmtId="43" fontId="3" fillId="0" borderId="2" xfId="0" applyNumberFormat="1" applyFont="1" applyBorder="1"/>
    <xf numFmtId="0" fontId="8" fillId="0" borderId="0" xfId="0" applyFont="1" applyAlignment="1">
      <alignment horizontal="center" vertical="center"/>
    </xf>
    <xf numFmtId="43" fontId="5" fillId="0" borderId="0" xfId="0" applyNumberFormat="1" applyFont="1"/>
    <xf numFmtId="165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164" fontId="3" fillId="2" borderId="1" xfId="0" applyNumberFormat="1" applyFont="1" applyFill="1" applyBorder="1"/>
    <xf numFmtId="4" fontId="8" fillId="0" borderId="0" xfId="0" applyNumberFormat="1" applyFont="1" applyAlignment="1">
      <alignment horizontal="center"/>
    </xf>
    <xf numFmtId="4" fontId="0" fillId="0" borderId="2" xfId="0" applyNumberFormat="1" applyBorder="1"/>
    <xf numFmtId="4" fontId="0" fillId="0" borderId="3" xfId="0" applyNumberFormat="1" applyBorder="1"/>
    <xf numFmtId="4" fontId="0" fillId="2" borderId="0" xfId="0" applyNumberFormat="1" applyFill="1"/>
    <xf numFmtId="165" fontId="3" fillId="2" borderId="1" xfId="0" applyNumberFormat="1" applyFont="1" applyFill="1" applyBorder="1"/>
    <xf numFmtId="4" fontId="0" fillId="2" borderId="1" xfId="0" applyNumberFormat="1" applyFill="1" applyBorder="1"/>
    <xf numFmtId="0" fontId="8" fillId="0" borderId="0" xfId="0" applyFont="1" applyAlignment="1"/>
    <xf numFmtId="4" fontId="1" fillId="0" borderId="0" xfId="0" applyNumberFormat="1" applyFont="1"/>
    <xf numFmtId="49" fontId="4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43" fontId="3" fillId="0" borderId="0" xfId="0" applyNumberFormat="1" applyFont="1" applyBorder="1"/>
    <xf numFmtId="43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164" fontId="3" fillId="0" borderId="6" xfId="0" applyNumberFormat="1" applyFont="1" applyBorder="1"/>
    <xf numFmtId="0" fontId="3" fillId="0" borderId="4" xfId="0" applyFont="1" applyBorder="1"/>
    <xf numFmtId="0" fontId="2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43" fontId="3" fillId="0" borderId="0" xfId="0" applyNumberFormat="1" applyFont="1"/>
    <xf numFmtId="4" fontId="3" fillId="2" borderId="0" xfId="0" applyNumberFormat="1" applyFont="1" applyFill="1"/>
    <xf numFmtId="10" fontId="3" fillId="0" borderId="1" xfId="0" applyNumberFormat="1" applyFont="1" applyBorder="1"/>
    <xf numFmtId="165" fontId="3" fillId="0" borderId="0" xfId="0" applyNumberFormat="1" applyFont="1"/>
    <xf numFmtId="0" fontId="3" fillId="0" borderId="1" xfId="0" applyFont="1" applyBorder="1"/>
    <xf numFmtId="4" fontId="3" fillId="2" borderId="1" xfId="0" applyNumberFormat="1" applyFont="1" applyFill="1" applyBorder="1"/>
    <xf numFmtId="0" fontId="4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left" vertical="center" indent="3"/>
    </xf>
    <xf numFmtId="0" fontId="3" fillId="0" borderId="0" xfId="0" applyFont="1" applyBorder="1" applyAlignment="1">
      <alignment horizontal="left" indent="3"/>
    </xf>
    <xf numFmtId="0" fontId="2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12"/>
    </xf>
    <xf numFmtId="0" fontId="3" fillId="0" borderId="0" xfId="0" applyFont="1" applyBorder="1" applyAlignment="1">
      <alignment horizontal="left" indent="4"/>
    </xf>
    <xf numFmtId="0" fontId="8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4" fontId="0" fillId="0" borderId="0" xfId="0" applyNumberFormat="1" applyBorder="1"/>
    <xf numFmtId="0" fontId="8" fillId="0" borderId="0" xfId="0" applyFont="1" applyBorder="1"/>
    <xf numFmtId="9" fontId="3" fillId="0" borderId="0" xfId="0" applyNumberFormat="1" applyFont="1"/>
    <xf numFmtId="164" fontId="3" fillId="0" borderId="1" xfId="0" applyNumberFormat="1" applyFont="1" applyFill="1" applyBorder="1"/>
    <xf numFmtId="0" fontId="8" fillId="0" borderId="0" xfId="0" applyFont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 indent="2"/>
    </xf>
    <xf numFmtId="0" fontId="2" fillId="0" borderId="0" xfId="0" applyFont="1"/>
    <xf numFmtId="0" fontId="3" fillId="0" borderId="0" xfId="0" applyFont="1" applyAlignment="1">
      <alignment horizontal="left"/>
    </xf>
    <xf numFmtId="4" fontId="3" fillId="0" borderId="1" xfId="0" applyNumberFormat="1" applyFont="1" applyBorder="1"/>
    <xf numFmtId="0" fontId="3" fillId="0" borderId="0" xfId="0" applyFont="1" applyFill="1" applyAlignment="1">
      <alignment horizontal="left" indent="2"/>
    </xf>
    <xf numFmtId="164" fontId="3" fillId="0" borderId="0" xfId="0" applyNumberFormat="1" applyFont="1" applyFill="1"/>
    <xf numFmtId="4" fontId="0" fillId="0" borderId="0" xfId="0" applyNumberFormat="1" applyFill="1"/>
    <xf numFmtId="0" fontId="8" fillId="0" borderId="0" xfId="0" applyFont="1"/>
    <xf numFmtId="166" fontId="0" fillId="0" borderId="0" xfId="0" applyNumberFormat="1"/>
    <xf numFmtId="4" fontId="3" fillId="0" borderId="0" xfId="0" applyNumberFormat="1" applyFont="1" applyFill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zoomScale="115" zoomScaleNormal="115" workbookViewId="0">
      <selection activeCell="G59" sqref="G59"/>
    </sheetView>
  </sheetViews>
  <sheetFormatPr baseColWidth="10" defaultRowHeight="14.4" x14ac:dyDescent="0.3"/>
  <cols>
    <col min="1" max="1" width="21.5546875" customWidth="1"/>
    <col min="2" max="2" width="37.109375" customWidth="1"/>
    <col min="3" max="4" width="14.109375" bestFit="1" customWidth="1"/>
    <col min="5" max="5" width="11.5546875" bestFit="1" customWidth="1"/>
    <col min="7" max="7" width="12.88671875" bestFit="1" customWidth="1"/>
    <col min="8" max="8" width="31.88671875" customWidth="1"/>
    <col min="9" max="9" width="12.44140625" bestFit="1" customWidth="1"/>
  </cols>
  <sheetData>
    <row r="1" spans="1:1" ht="15" x14ac:dyDescent="0.25">
      <c r="A1" s="109" t="s">
        <v>143</v>
      </c>
    </row>
    <row r="3" spans="1:1" ht="15" x14ac:dyDescent="0.25">
      <c r="A3" t="s">
        <v>65</v>
      </c>
    </row>
    <row r="4" spans="1:1" x14ac:dyDescent="0.3">
      <c r="A4" t="s">
        <v>74</v>
      </c>
    </row>
    <row r="5" spans="1:1" ht="15" x14ac:dyDescent="0.25">
      <c r="A5" t="s">
        <v>75</v>
      </c>
    </row>
    <row r="6" spans="1:1" x14ac:dyDescent="0.3">
      <c r="A6" t="s">
        <v>97</v>
      </c>
    </row>
    <row r="7" spans="1:1" x14ac:dyDescent="0.3">
      <c r="A7" t="s">
        <v>66</v>
      </c>
    </row>
    <row r="8" spans="1:1" x14ac:dyDescent="0.3">
      <c r="A8" t="s">
        <v>67</v>
      </c>
    </row>
    <row r="9" spans="1:1" x14ac:dyDescent="0.3">
      <c r="A9" t="s">
        <v>68</v>
      </c>
    </row>
    <row r="10" spans="1:1" x14ac:dyDescent="0.3">
      <c r="A10" t="s">
        <v>69</v>
      </c>
    </row>
    <row r="11" spans="1:1" x14ac:dyDescent="0.3">
      <c r="A11" t="s">
        <v>123</v>
      </c>
    </row>
    <row r="12" spans="1:1" ht="15" x14ac:dyDescent="0.25">
      <c r="A12" t="s">
        <v>70</v>
      </c>
    </row>
    <row r="13" spans="1:1" ht="15" x14ac:dyDescent="0.25">
      <c r="A13" t="s">
        <v>141</v>
      </c>
    </row>
    <row r="14" spans="1:1" ht="15" x14ac:dyDescent="0.25">
      <c r="A14" t="s">
        <v>145</v>
      </c>
    </row>
    <row r="15" spans="1:1" x14ac:dyDescent="0.3">
      <c r="A15" t="s">
        <v>146</v>
      </c>
    </row>
    <row r="18" spans="1:8" ht="15" x14ac:dyDescent="0.25">
      <c r="A18" s="112" t="s">
        <v>30</v>
      </c>
      <c r="B18" s="112"/>
      <c r="C18" s="112"/>
      <c r="D18" s="112"/>
    </row>
    <row r="19" spans="1:8" ht="15" x14ac:dyDescent="0.25">
      <c r="A19" s="38"/>
      <c r="B19" s="38"/>
      <c r="C19" s="38" t="s">
        <v>51</v>
      </c>
      <c r="D19" s="38" t="s">
        <v>1</v>
      </c>
      <c r="G19" s="110"/>
    </row>
    <row r="20" spans="1:8" ht="15" x14ac:dyDescent="0.25">
      <c r="A20" s="3" t="s">
        <v>2</v>
      </c>
      <c r="B20" s="4"/>
      <c r="C20" s="65">
        <v>2022</v>
      </c>
      <c r="D20" s="65" t="s">
        <v>98</v>
      </c>
    </row>
    <row r="21" spans="1:8" ht="15" x14ac:dyDescent="0.25">
      <c r="A21" s="6" t="s">
        <v>7</v>
      </c>
      <c r="B21" s="7"/>
      <c r="C21" s="8"/>
      <c r="D21" s="20"/>
    </row>
    <row r="22" spans="1:8" ht="15" x14ac:dyDescent="0.25">
      <c r="A22" s="7"/>
      <c r="B22" s="9" t="s">
        <v>58</v>
      </c>
      <c r="C22" s="8">
        <v>2207948.35</v>
      </c>
      <c r="D22" s="20">
        <v>3000000</v>
      </c>
    </row>
    <row r="23" spans="1:8" ht="15" x14ac:dyDescent="0.25">
      <c r="A23" s="7"/>
      <c r="B23" s="9" t="s">
        <v>59</v>
      </c>
      <c r="C23" s="8">
        <v>75000</v>
      </c>
      <c r="D23" s="20">
        <v>102105.44085</v>
      </c>
    </row>
    <row r="24" spans="1:8" x14ac:dyDescent="0.3">
      <c r="A24" s="7"/>
      <c r="B24" s="9" t="s">
        <v>60</v>
      </c>
      <c r="C24" s="8">
        <v>879110.73</v>
      </c>
      <c r="D24" s="20">
        <v>836405.79929998133</v>
      </c>
    </row>
    <row r="25" spans="1:8" ht="15" x14ac:dyDescent="0.25">
      <c r="A25" s="7"/>
      <c r="B25" s="9" t="s">
        <v>61</v>
      </c>
      <c r="C25" s="10">
        <v>2925668.77</v>
      </c>
      <c r="D25" s="10">
        <v>199211.24113957401</v>
      </c>
    </row>
    <row r="26" spans="1:8" ht="15" x14ac:dyDescent="0.25">
      <c r="A26" s="11"/>
      <c r="B26" s="12" t="s">
        <v>8</v>
      </c>
      <c r="C26" s="13">
        <f>SUM(C22:C25)</f>
        <v>6087727.8499999996</v>
      </c>
      <c r="D26" s="13">
        <f>SUM(D22:D25)</f>
        <v>4137722.4812895553</v>
      </c>
    </row>
    <row r="27" spans="1:8" ht="15" x14ac:dyDescent="0.25">
      <c r="A27" s="6" t="s">
        <v>9</v>
      </c>
      <c r="B27" s="7"/>
      <c r="C27" s="8"/>
      <c r="D27" s="20"/>
    </row>
    <row r="28" spans="1:8" ht="15" x14ac:dyDescent="0.25">
      <c r="A28" s="7"/>
      <c r="B28" s="9" t="s">
        <v>50</v>
      </c>
      <c r="C28" s="10">
        <v>1119471.23</v>
      </c>
      <c r="D28" s="10">
        <v>0</v>
      </c>
    </row>
    <row r="29" spans="1:8" x14ac:dyDescent="0.3">
      <c r="A29" s="9"/>
      <c r="B29" s="12" t="s">
        <v>10</v>
      </c>
      <c r="C29" s="13">
        <f>SUM(C28)</f>
        <v>1119471.23</v>
      </c>
      <c r="D29" s="13">
        <f>SUM(D28)</f>
        <v>0</v>
      </c>
      <c r="H29" s="67"/>
    </row>
    <row r="30" spans="1:8" ht="15" thickBot="1" x14ac:dyDescent="0.35">
      <c r="A30" s="21"/>
      <c r="B30" s="29" t="s">
        <v>11</v>
      </c>
      <c r="C30" s="15">
        <f>SUM(C29,C26)</f>
        <v>7207199.0800000001</v>
      </c>
      <c r="D30" s="15">
        <f>D26+D29</f>
        <v>4137722.4812895553</v>
      </c>
    </row>
    <row r="31" spans="1:8" ht="15" thickTop="1" x14ac:dyDescent="0.3">
      <c r="A31" s="27"/>
      <c r="B31" s="28"/>
      <c r="C31" s="16"/>
      <c r="D31" s="16"/>
    </row>
    <row r="32" spans="1:8" x14ac:dyDescent="0.3">
      <c r="A32" s="17" t="s">
        <v>3</v>
      </c>
      <c r="B32" s="4"/>
      <c r="C32" s="5"/>
      <c r="D32" s="5"/>
    </row>
    <row r="33" spans="1:4" x14ac:dyDescent="0.3">
      <c r="A33" s="18" t="s">
        <v>12</v>
      </c>
      <c r="B33" s="7"/>
      <c r="C33" s="8"/>
      <c r="D33" s="8"/>
    </row>
    <row r="34" spans="1:4" x14ac:dyDescent="0.3">
      <c r="A34" s="19"/>
      <c r="B34" s="9" t="s">
        <v>62</v>
      </c>
      <c r="C34" s="20">
        <f>4082231.6</f>
        <v>4082231.6</v>
      </c>
      <c r="D34" s="20">
        <f>123248.87+1803300.74</f>
        <v>1926549.6099999999</v>
      </c>
    </row>
    <row r="35" spans="1:4" x14ac:dyDescent="0.3">
      <c r="A35" s="19"/>
      <c r="B35" s="9" t="s">
        <v>63</v>
      </c>
      <c r="C35" s="20">
        <v>140867.59</v>
      </c>
      <c r="D35" s="20">
        <v>243282.04597548614</v>
      </c>
    </row>
    <row r="36" spans="1:4" x14ac:dyDescent="0.3">
      <c r="A36" s="19"/>
      <c r="B36" s="21" t="s">
        <v>64</v>
      </c>
      <c r="C36" s="10">
        <v>0</v>
      </c>
      <c r="D36" s="10">
        <v>102105.44085</v>
      </c>
    </row>
    <row r="37" spans="1:4" x14ac:dyDescent="0.3">
      <c r="A37" s="22"/>
      <c r="B37" s="12" t="s">
        <v>13</v>
      </c>
      <c r="C37" s="13">
        <f>SUM(C34:C36)</f>
        <v>4223099.1900000004</v>
      </c>
      <c r="D37" s="13">
        <f>SUM(D34:D36)</f>
        <v>2271937.096825486</v>
      </c>
    </row>
    <row r="38" spans="1:4" x14ac:dyDescent="0.3">
      <c r="A38" s="18" t="s">
        <v>14</v>
      </c>
      <c r="B38" s="7"/>
      <c r="C38" s="20"/>
      <c r="D38" s="20"/>
    </row>
    <row r="39" spans="1:4" x14ac:dyDescent="0.3">
      <c r="A39" s="19"/>
      <c r="B39" s="9" t="s">
        <v>15</v>
      </c>
      <c r="C39" s="23">
        <v>0</v>
      </c>
      <c r="D39" s="23">
        <v>0</v>
      </c>
    </row>
    <row r="40" spans="1:4" x14ac:dyDescent="0.3">
      <c r="A40" s="24"/>
      <c r="B40" s="12" t="s">
        <v>16</v>
      </c>
      <c r="C40" s="13">
        <f>SUM(C39)</f>
        <v>0</v>
      </c>
      <c r="D40" s="13">
        <f>SUM(D39)</f>
        <v>0</v>
      </c>
    </row>
    <row r="41" spans="1:4" x14ac:dyDescent="0.3">
      <c r="A41" s="24"/>
      <c r="B41" s="14" t="s">
        <v>17</v>
      </c>
      <c r="C41" s="13">
        <f>SUM(C40,C37)</f>
        <v>4223099.1900000004</v>
      </c>
      <c r="D41" s="13">
        <f>SUM(D40,D37)</f>
        <v>2271937.096825486</v>
      </c>
    </row>
    <row r="42" spans="1:4" x14ac:dyDescent="0.3">
      <c r="A42" s="17" t="s">
        <v>4</v>
      </c>
      <c r="B42" s="8"/>
      <c r="C42" s="10"/>
      <c r="D42" s="10"/>
    </row>
    <row r="43" spans="1:4" x14ac:dyDescent="0.3">
      <c r="A43" s="25"/>
      <c r="B43" s="26" t="s">
        <v>18</v>
      </c>
      <c r="C43" s="10">
        <f>+C30-C41</f>
        <v>2984099.8899999997</v>
      </c>
      <c r="D43" s="10">
        <f>+D30-D41</f>
        <v>1865785.3844640693</v>
      </c>
    </row>
    <row r="44" spans="1:4" ht="15" thickBot="1" x14ac:dyDescent="0.35">
      <c r="A44" s="25"/>
      <c r="B44" s="12" t="s">
        <v>19</v>
      </c>
      <c r="C44" s="15">
        <f>+C37+C43</f>
        <v>7207199.0800000001</v>
      </c>
      <c r="D44" s="15">
        <f>+D37+D43</f>
        <v>4137722.4812895553</v>
      </c>
    </row>
    <row r="45" spans="1:4" ht="15" thickTop="1" x14ac:dyDescent="0.3"/>
    <row r="47" spans="1:4" x14ac:dyDescent="0.3">
      <c r="A47" s="112" t="s">
        <v>29</v>
      </c>
      <c r="B47" s="112"/>
      <c r="C47" s="112"/>
      <c r="D47" s="112"/>
    </row>
    <row r="48" spans="1:4" x14ac:dyDescent="0.3">
      <c r="A48" s="32"/>
      <c r="B48" s="7"/>
      <c r="C48" s="49" t="s">
        <v>51</v>
      </c>
      <c r="D48" s="49" t="s">
        <v>1</v>
      </c>
    </row>
    <row r="49" spans="1:9" x14ac:dyDescent="0.3">
      <c r="A49" s="32"/>
      <c r="B49" s="7"/>
      <c r="C49" s="65">
        <v>2022</v>
      </c>
      <c r="D49" s="65" t="s">
        <v>98</v>
      </c>
    </row>
    <row r="50" spans="1:9" x14ac:dyDescent="0.3">
      <c r="A50" s="6" t="s">
        <v>56</v>
      </c>
      <c r="B50" s="12"/>
      <c r="C50" s="33">
        <v>6103928.4100000001</v>
      </c>
      <c r="D50" s="33">
        <v>10353403.973195221</v>
      </c>
    </row>
    <row r="51" spans="1:9" x14ac:dyDescent="0.3">
      <c r="A51" s="6" t="s">
        <v>57</v>
      </c>
      <c r="B51" s="12"/>
      <c r="C51" s="34">
        <v>-4235644.37</v>
      </c>
      <c r="D51" s="34">
        <v>-7485520.7251511887</v>
      </c>
    </row>
    <row r="52" spans="1:9" x14ac:dyDescent="0.3">
      <c r="A52" s="7"/>
      <c r="B52" s="36" t="s">
        <v>20</v>
      </c>
      <c r="C52" s="33">
        <f>SUM(C50:C51)</f>
        <v>1868284.04</v>
      </c>
      <c r="D52" s="33">
        <v>2867883.2480440326</v>
      </c>
    </row>
    <row r="53" spans="1:9" x14ac:dyDescent="0.3">
      <c r="A53" s="32"/>
      <c r="B53" s="7"/>
      <c r="C53" s="33"/>
      <c r="D53" s="33"/>
    </row>
    <row r="54" spans="1:9" x14ac:dyDescent="0.3">
      <c r="A54" s="6" t="s">
        <v>100</v>
      </c>
      <c r="B54" s="7"/>
      <c r="C54" s="33"/>
      <c r="D54" s="33"/>
    </row>
    <row r="55" spans="1:9" x14ac:dyDescent="0.3">
      <c r="A55" s="7"/>
      <c r="B55" s="32" t="s">
        <v>21</v>
      </c>
      <c r="C55" s="33">
        <f>-332767.12+226129.53-1021.62</f>
        <v>-107659.20999999999</v>
      </c>
      <c r="D55" s="33">
        <v>-277646.55784955068</v>
      </c>
    </row>
    <row r="56" spans="1:9" x14ac:dyDescent="0.3">
      <c r="A56" s="7"/>
      <c r="B56" s="32" t="s">
        <v>101</v>
      </c>
      <c r="C56" s="33">
        <v>-140310.49</v>
      </c>
      <c r="D56" s="33">
        <v>-392172.02284019202</v>
      </c>
    </row>
    <row r="57" spans="1:9" x14ac:dyDescent="0.3">
      <c r="A57" s="7"/>
      <c r="B57" s="32" t="s">
        <v>22</v>
      </c>
      <c r="C57" s="33">
        <v>-717815.13</v>
      </c>
      <c r="D57" s="33">
        <v>-1291337.0538851549</v>
      </c>
    </row>
    <row r="58" spans="1:9" x14ac:dyDescent="0.3">
      <c r="A58" s="7"/>
      <c r="B58" s="32" t="s">
        <v>23</v>
      </c>
      <c r="C58" s="33">
        <v>-416865.74</v>
      </c>
      <c r="D58" s="33">
        <f>-898487.105373954-134368.55</f>
        <v>-1032855.655373954</v>
      </c>
    </row>
    <row r="59" spans="1:9" x14ac:dyDescent="0.3">
      <c r="A59" s="7"/>
      <c r="B59" s="32" t="s">
        <v>24</v>
      </c>
      <c r="C59" s="34">
        <v>-133372.57</v>
      </c>
      <c r="D59" s="34">
        <v>-248826.63008075798</v>
      </c>
    </row>
    <row r="60" spans="1:9" x14ac:dyDescent="0.3">
      <c r="A60" s="7"/>
      <c r="B60" s="36" t="s">
        <v>20</v>
      </c>
      <c r="C60" s="33">
        <f>SUM(C52:C59)</f>
        <v>352260.90000000008</v>
      </c>
      <c r="D60" s="33">
        <f>SUM(D52:D59)</f>
        <v>-374954.67198557698</v>
      </c>
    </row>
    <row r="61" spans="1:9" x14ac:dyDescent="0.3">
      <c r="A61" s="6" t="s">
        <v>25</v>
      </c>
      <c r="B61" s="32"/>
      <c r="C61" s="33"/>
      <c r="D61" s="33"/>
    </row>
    <row r="62" spans="1:9" x14ac:dyDescent="0.3">
      <c r="A62" s="6"/>
      <c r="B62" s="7"/>
      <c r="C62" s="33"/>
      <c r="D62" s="33"/>
    </row>
    <row r="63" spans="1:9" x14ac:dyDescent="0.3">
      <c r="A63" s="7"/>
      <c r="B63" s="32" t="s">
        <v>55</v>
      </c>
      <c r="C63" s="34">
        <v>-224972.79999999999</v>
      </c>
      <c r="D63" s="34">
        <v>0</v>
      </c>
      <c r="H63" s="47"/>
    </row>
    <row r="64" spans="1:9" x14ac:dyDescent="0.3">
      <c r="A64" s="32"/>
      <c r="B64" s="32"/>
      <c r="C64" s="7"/>
      <c r="D64" s="7"/>
      <c r="E64" s="30"/>
      <c r="F64" s="30"/>
      <c r="I64" s="51"/>
    </row>
    <row r="65" spans="1:11" ht="15" thickBot="1" x14ac:dyDescent="0.35">
      <c r="A65" s="6"/>
      <c r="B65" s="32" t="s">
        <v>28</v>
      </c>
      <c r="C65" s="35">
        <f>SUM(C60:C63)</f>
        <v>127288.10000000009</v>
      </c>
      <c r="D65" s="35">
        <f>SUM(D60:D63)</f>
        <v>-374954.67198557698</v>
      </c>
    </row>
    <row r="66" spans="1:11" ht="15" thickTop="1" x14ac:dyDescent="0.3"/>
    <row r="68" spans="1:11" x14ac:dyDescent="0.3">
      <c r="A68" s="112" t="s">
        <v>54</v>
      </c>
      <c r="B68" s="112"/>
      <c r="C68" s="112"/>
      <c r="D68" s="112"/>
    </row>
    <row r="69" spans="1:11" x14ac:dyDescent="0.3">
      <c r="A69" s="7"/>
      <c r="B69" s="7"/>
      <c r="C69" s="38" t="s">
        <v>51</v>
      </c>
      <c r="D69" s="38" t="s">
        <v>1</v>
      </c>
      <c r="G69" s="4"/>
      <c r="H69" s="4"/>
      <c r="I69" s="92"/>
      <c r="J69" s="92"/>
      <c r="K69" s="93"/>
    </row>
    <row r="70" spans="1:11" x14ac:dyDescent="0.3">
      <c r="A70" s="44" t="s">
        <v>43</v>
      </c>
      <c r="B70" s="7"/>
      <c r="C70" s="65">
        <v>2022</v>
      </c>
      <c r="D70" s="65" t="s">
        <v>98</v>
      </c>
      <c r="G70" s="86"/>
      <c r="H70" s="4"/>
      <c r="I70" s="65"/>
      <c r="J70" s="65"/>
      <c r="K70" s="93"/>
    </row>
    <row r="71" spans="1:11" x14ac:dyDescent="0.3">
      <c r="A71" s="7"/>
      <c r="B71" s="45" t="s">
        <v>44</v>
      </c>
      <c r="C71" s="8">
        <v>1196699.26</v>
      </c>
      <c r="D71" s="8">
        <v>1500000</v>
      </c>
      <c r="G71" s="4"/>
      <c r="H71" s="87"/>
      <c r="I71" s="20"/>
      <c r="J71" s="20"/>
      <c r="K71" s="93"/>
    </row>
    <row r="72" spans="1:11" x14ac:dyDescent="0.3">
      <c r="A72" s="7"/>
      <c r="B72" s="45" t="s">
        <v>45</v>
      </c>
      <c r="C72" s="10">
        <v>2207948.35</v>
      </c>
      <c r="D72" s="10">
        <v>3000000</v>
      </c>
      <c r="G72" s="4"/>
      <c r="H72" s="87"/>
      <c r="I72" s="20"/>
      <c r="J72" s="20"/>
      <c r="K72" s="93"/>
    </row>
    <row r="73" spans="1:11" ht="15" thickBot="1" x14ac:dyDescent="0.35">
      <c r="A73" s="7"/>
      <c r="B73" s="45" t="s">
        <v>46</v>
      </c>
      <c r="C73" s="15">
        <f>-C71+C72</f>
        <v>1011249.0900000001</v>
      </c>
      <c r="D73" s="15">
        <f>-D71+D72</f>
        <v>1500000</v>
      </c>
      <c r="G73" s="4"/>
      <c r="H73" s="87"/>
      <c r="I73" s="20"/>
      <c r="J73" s="20"/>
      <c r="K73" s="93"/>
    </row>
    <row r="74" spans="1:11" ht="15" thickTop="1" x14ac:dyDescent="0.3">
      <c r="A74" s="45"/>
      <c r="B74" s="7"/>
      <c r="C74" s="8"/>
      <c r="D74" s="8"/>
      <c r="G74" s="87"/>
      <c r="H74" s="4"/>
      <c r="I74" s="20"/>
      <c r="J74" s="20"/>
      <c r="K74" s="93"/>
    </row>
    <row r="75" spans="1:11" x14ac:dyDescent="0.3">
      <c r="A75" s="44" t="s">
        <v>47</v>
      </c>
      <c r="B75" s="7"/>
      <c r="C75" s="8"/>
      <c r="D75" s="8"/>
      <c r="G75" s="86"/>
      <c r="H75" s="4"/>
      <c r="I75" s="20"/>
      <c r="J75" s="20"/>
      <c r="K75" s="93"/>
    </row>
    <row r="76" spans="1:11" ht="15.6" x14ac:dyDescent="0.4">
      <c r="A76" s="46" t="s">
        <v>0</v>
      </c>
      <c r="B76" s="7"/>
      <c r="C76" s="40"/>
      <c r="D76" s="40"/>
      <c r="G76" s="88"/>
      <c r="H76" s="4"/>
      <c r="I76" s="100"/>
      <c r="J76" s="100"/>
      <c r="K76" s="93"/>
    </row>
    <row r="77" spans="1:11" x14ac:dyDescent="0.3">
      <c r="A77" s="41"/>
      <c r="B77" s="7"/>
      <c r="C77" s="8"/>
      <c r="D77" s="8"/>
      <c r="G77" s="93"/>
      <c r="H77" s="94"/>
      <c r="I77" s="95"/>
      <c r="J77" s="95"/>
      <c r="K77" s="95"/>
    </row>
    <row r="78" spans="1:11" x14ac:dyDescent="0.3">
      <c r="A78" s="7"/>
      <c r="B78" s="41" t="s">
        <v>31</v>
      </c>
      <c r="C78" s="8"/>
      <c r="D78" s="8"/>
      <c r="G78" s="93"/>
      <c r="H78" s="96"/>
      <c r="I78" s="95"/>
      <c r="J78" s="95"/>
      <c r="K78" s="95"/>
    </row>
    <row r="79" spans="1:11" x14ac:dyDescent="0.3">
      <c r="A79" s="42" t="s">
        <v>32</v>
      </c>
      <c r="B79" s="7"/>
      <c r="C79" s="8">
        <v>8751944.4100000001</v>
      </c>
      <c r="D79" s="8">
        <v>10077423.630000001</v>
      </c>
      <c r="G79" s="93"/>
      <c r="H79" s="93"/>
      <c r="I79" s="95"/>
      <c r="J79" s="95"/>
      <c r="K79" s="95"/>
    </row>
    <row r="80" spans="1:11" x14ac:dyDescent="0.3">
      <c r="A80" s="42" t="s">
        <v>33</v>
      </c>
      <c r="B80" s="7"/>
      <c r="C80" s="8">
        <v>135.11000000000001</v>
      </c>
      <c r="D80" s="8">
        <v>0</v>
      </c>
      <c r="G80" s="93"/>
      <c r="H80" s="93"/>
      <c r="I80" s="95"/>
      <c r="J80" s="95"/>
      <c r="K80" s="95"/>
    </row>
    <row r="81" spans="1:11" x14ac:dyDescent="0.3">
      <c r="A81" s="42"/>
      <c r="B81" s="7" t="s">
        <v>34</v>
      </c>
      <c r="C81" s="13">
        <f>SUM(C79:C80)</f>
        <v>8752079.5199999996</v>
      </c>
      <c r="D81" s="13">
        <f>SUM(D79:D80)</f>
        <v>10077423.630000001</v>
      </c>
      <c r="G81" s="93"/>
      <c r="H81" s="93"/>
      <c r="I81" s="95"/>
      <c r="J81" s="95"/>
      <c r="K81" s="95"/>
    </row>
    <row r="82" spans="1:11" x14ac:dyDescent="0.3">
      <c r="A82" s="7"/>
      <c r="B82" s="7"/>
      <c r="C82" s="8"/>
      <c r="D82" s="8"/>
      <c r="G82" s="93"/>
      <c r="H82" s="93"/>
      <c r="I82" s="95"/>
      <c r="J82" s="95"/>
      <c r="K82" s="1"/>
    </row>
    <row r="83" spans="1:11" x14ac:dyDescent="0.3">
      <c r="A83" s="43"/>
      <c r="B83" s="41" t="s">
        <v>35</v>
      </c>
      <c r="C83" s="8"/>
      <c r="D83" s="8"/>
      <c r="G83" s="93"/>
      <c r="H83" s="93"/>
      <c r="I83" s="95"/>
      <c r="J83" s="95"/>
      <c r="K83" s="1"/>
    </row>
    <row r="84" spans="1:11" x14ac:dyDescent="0.3">
      <c r="A84" s="42" t="s">
        <v>36</v>
      </c>
      <c r="B84" s="7"/>
      <c r="C84" s="8">
        <f>5547959.28-1119471.23+282371.95-224972.8</f>
        <v>4485887.2000000011</v>
      </c>
      <c r="D84" s="8">
        <f>7636970.9-1803300.74+440900.44+213986.92</f>
        <v>6488557.5200000005</v>
      </c>
      <c r="I84" s="1"/>
      <c r="J84" s="1"/>
      <c r="K84" s="1"/>
    </row>
    <row r="85" spans="1:11" x14ac:dyDescent="0.3">
      <c r="A85" s="42" t="s">
        <v>104</v>
      </c>
      <c r="B85" s="7"/>
      <c r="C85" s="8">
        <v>140310.49</v>
      </c>
      <c r="D85" s="8">
        <v>392172.03</v>
      </c>
      <c r="I85" s="1"/>
      <c r="J85" s="1"/>
      <c r="K85" s="1"/>
    </row>
    <row r="86" spans="1:11" x14ac:dyDescent="0.3">
      <c r="A86" s="42" t="s">
        <v>37</v>
      </c>
      <c r="B86" s="7"/>
      <c r="C86" s="8">
        <v>332767.12</v>
      </c>
      <c r="D86" s="8">
        <v>184676.08237063678</v>
      </c>
      <c r="I86" s="1"/>
      <c r="J86" s="1"/>
      <c r="K86" s="1"/>
    </row>
    <row r="87" spans="1:11" x14ac:dyDescent="0.3">
      <c r="A87" s="42" t="s">
        <v>38</v>
      </c>
      <c r="B87" s="7"/>
      <c r="C87" s="8">
        <v>586374.80000000005</v>
      </c>
      <c r="D87" s="8">
        <v>116183.07194551778</v>
      </c>
      <c r="I87" s="1"/>
      <c r="J87" s="1"/>
      <c r="K87" s="1"/>
    </row>
    <row r="88" spans="1:11" x14ac:dyDescent="0.3">
      <c r="A88" s="42" t="s">
        <v>39</v>
      </c>
      <c r="B88" s="7"/>
      <c r="C88" s="8">
        <v>31126.22</v>
      </c>
      <c r="D88" s="8">
        <v>66260.98</v>
      </c>
      <c r="I88" s="1"/>
      <c r="J88" s="1"/>
      <c r="K88" s="1"/>
    </row>
    <row r="89" spans="1:11" x14ac:dyDescent="0.3">
      <c r="A89" s="42" t="s">
        <v>40</v>
      </c>
      <c r="B89" s="7"/>
      <c r="C89" s="8">
        <v>819920.57</v>
      </c>
      <c r="D89" s="8">
        <v>1293945.7798285782</v>
      </c>
      <c r="I89" s="1"/>
      <c r="J89" s="1"/>
      <c r="K89" s="1"/>
    </row>
    <row r="90" spans="1:11" x14ac:dyDescent="0.3">
      <c r="A90" s="42" t="s">
        <v>41</v>
      </c>
      <c r="B90" s="7"/>
      <c r="C90" s="8">
        <v>0</v>
      </c>
      <c r="D90" s="8">
        <v>35628.17</v>
      </c>
      <c r="I90" s="1"/>
      <c r="J90" s="1"/>
      <c r="K90" s="1"/>
    </row>
    <row r="91" spans="1:11" x14ac:dyDescent="0.3">
      <c r="A91" s="42"/>
      <c r="B91" s="7" t="s">
        <v>42</v>
      </c>
      <c r="C91" s="13">
        <f>-SUM(C84:C90)</f>
        <v>-6396386.4000000013</v>
      </c>
      <c r="D91" s="13">
        <f>-SUM(D84:D90)</f>
        <v>-8577423.6341447327</v>
      </c>
      <c r="I91" s="1"/>
      <c r="J91" s="1"/>
      <c r="K91" s="1"/>
    </row>
    <row r="92" spans="1:11" x14ac:dyDescent="0.3">
      <c r="A92" s="9"/>
      <c r="B92" s="9" t="s">
        <v>48</v>
      </c>
      <c r="C92" s="31"/>
      <c r="D92" s="31"/>
      <c r="I92" s="1"/>
      <c r="J92" s="1"/>
      <c r="K92" s="1"/>
    </row>
    <row r="93" spans="1:11" x14ac:dyDescent="0.3">
      <c r="A93" s="9"/>
      <c r="B93" s="9" t="s">
        <v>49</v>
      </c>
      <c r="C93" s="48">
        <f>+C81+C91</f>
        <v>2355693.1199999982</v>
      </c>
      <c r="D93" s="13">
        <f>+D81+D91</f>
        <v>1499999.9958552681</v>
      </c>
      <c r="I93" s="1"/>
      <c r="J93" s="1"/>
      <c r="K93" s="1"/>
    </row>
    <row r="94" spans="1:11" x14ac:dyDescent="0.3">
      <c r="I94" s="1"/>
      <c r="J94" s="1"/>
      <c r="K94" s="1"/>
    </row>
    <row r="95" spans="1:11" ht="15.6" x14ac:dyDescent="0.4">
      <c r="A95" s="46" t="s">
        <v>6</v>
      </c>
      <c r="B95" s="7"/>
      <c r="C95" s="40"/>
      <c r="D95" s="40"/>
      <c r="I95" s="1"/>
      <c r="J95" s="1"/>
      <c r="K95" s="1"/>
    </row>
    <row r="96" spans="1:11" x14ac:dyDescent="0.3">
      <c r="A96" s="41"/>
      <c r="B96" s="7"/>
      <c r="C96" s="8"/>
      <c r="D96" s="8"/>
      <c r="I96" s="1"/>
      <c r="J96" s="1"/>
      <c r="K96" s="1"/>
    </row>
    <row r="97" spans="1:11" x14ac:dyDescent="0.3">
      <c r="A97" s="43"/>
      <c r="B97" s="41" t="s">
        <v>35</v>
      </c>
      <c r="C97" s="8"/>
      <c r="D97" s="8"/>
      <c r="I97" s="1"/>
      <c r="J97" s="1"/>
      <c r="K97" s="1"/>
    </row>
    <row r="98" spans="1:11" x14ac:dyDescent="0.3">
      <c r="A98" s="42" t="s">
        <v>52</v>
      </c>
      <c r="B98" s="7"/>
      <c r="C98" s="8">
        <v>1344444.03</v>
      </c>
      <c r="D98" s="8">
        <v>0</v>
      </c>
      <c r="I98" s="1"/>
      <c r="J98" s="1"/>
      <c r="K98" s="1"/>
    </row>
    <row r="99" spans="1:11" x14ac:dyDescent="0.3">
      <c r="A99" s="42"/>
      <c r="B99" s="7" t="s">
        <v>42</v>
      </c>
      <c r="C99" s="13">
        <f>-SUM(C98:C98)</f>
        <v>-1344444.03</v>
      </c>
      <c r="D99" s="13">
        <f>SUM(D98)</f>
        <v>0</v>
      </c>
      <c r="I99" s="1"/>
      <c r="J99" s="1"/>
      <c r="K99" s="1"/>
    </row>
    <row r="100" spans="1:11" x14ac:dyDescent="0.3">
      <c r="A100" s="9"/>
      <c r="B100" s="9" t="s">
        <v>48</v>
      </c>
      <c r="C100" s="31"/>
      <c r="D100" s="31"/>
      <c r="I100" s="1"/>
      <c r="J100" s="1"/>
      <c r="K100" s="1"/>
    </row>
    <row r="101" spans="1:11" x14ac:dyDescent="0.3">
      <c r="A101" s="9"/>
      <c r="B101" s="9" t="s">
        <v>53</v>
      </c>
      <c r="C101" s="48">
        <f>SUM(C99)</f>
        <v>-1344444.03</v>
      </c>
      <c r="D101" s="48">
        <f>SUM(D99)</f>
        <v>0</v>
      </c>
      <c r="I101" s="1"/>
      <c r="J101" s="1"/>
      <c r="K101" s="1"/>
    </row>
    <row r="102" spans="1:11" x14ac:dyDescent="0.3">
      <c r="I102" s="1"/>
      <c r="J102" s="1"/>
      <c r="K102" s="1"/>
    </row>
    <row r="103" spans="1:11" x14ac:dyDescent="0.3">
      <c r="B103" s="32" t="s">
        <v>46</v>
      </c>
      <c r="C103" s="50">
        <f>+C93+C101</f>
        <v>1011249.0899999982</v>
      </c>
      <c r="D103" s="50">
        <f>+D93+D101</f>
        <v>1499999.9958552681</v>
      </c>
      <c r="F103" s="47"/>
      <c r="I103" s="1"/>
      <c r="J103" s="1"/>
      <c r="K103" s="1"/>
    </row>
    <row r="104" spans="1:11" x14ac:dyDescent="0.3">
      <c r="I104" s="1"/>
      <c r="J104" s="1"/>
      <c r="K104" s="1"/>
    </row>
    <row r="105" spans="1:11" x14ac:dyDescent="0.3">
      <c r="I105" s="1"/>
      <c r="J105" s="1"/>
      <c r="K105" s="1"/>
    </row>
    <row r="106" spans="1:11" x14ac:dyDescent="0.3">
      <c r="I106" s="1"/>
      <c r="J106" s="1"/>
      <c r="K106" s="1"/>
    </row>
    <row r="107" spans="1:11" x14ac:dyDescent="0.3">
      <c r="A107" t="s">
        <v>65</v>
      </c>
      <c r="I107" s="1"/>
      <c r="J107" s="1"/>
      <c r="K107" s="1"/>
    </row>
    <row r="108" spans="1:11" x14ac:dyDescent="0.3">
      <c r="A108" t="s">
        <v>74</v>
      </c>
      <c r="I108" s="1"/>
      <c r="J108" s="1"/>
      <c r="K108" s="1"/>
    </row>
    <row r="109" spans="1:11" x14ac:dyDescent="0.3">
      <c r="A109" t="s">
        <v>75</v>
      </c>
      <c r="I109" s="1"/>
      <c r="J109" s="1"/>
      <c r="K109" s="1"/>
    </row>
    <row r="110" spans="1:11" x14ac:dyDescent="0.3">
      <c r="A110" t="s">
        <v>97</v>
      </c>
      <c r="I110" s="1"/>
      <c r="J110" s="1"/>
      <c r="K110" s="1"/>
    </row>
    <row r="111" spans="1:11" x14ac:dyDescent="0.3">
      <c r="A111" t="s">
        <v>66</v>
      </c>
    </row>
    <row r="112" spans="1:11" x14ac:dyDescent="0.3">
      <c r="A112" t="s">
        <v>67</v>
      </c>
    </row>
    <row r="113" spans="1:1" x14ac:dyDescent="0.3">
      <c r="A113" t="s">
        <v>68</v>
      </c>
    </row>
    <row r="114" spans="1:1" x14ac:dyDescent="0.3">
      <c r="A114" t="s">
        <v>69</v>
      </c>
    </row>
    <row r="115" spans="1:1" x14ac:dyDescent="0.3">
      <c r="A115" t="s">
        <v>123</v>
      </c>
    </row>
    <row r="116" spans="1:1" x14ac:dyDescent="0.3">
      <c r="A116" t="s">
        <v>70</v>
      </c>
    </row>
  </sheetData>
  <mergeCells count="3">
    <mergeCell ref="A18:D18"/>
    <mergeCell ref="A47:D47"/>
    <mergeCell ref="A68:D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2"/>
  <sheetViews>
    <sheetView topLeftCell="A16" workbookViewId="0">
      <selection activeCell="C39" sqref="C39"/>
    </sheetView>
  </sheetViews>
  <sheetFormatPr baseColWidth="10" defaultRowHeight="14.4" x14ac:dyDescent="0.3"/>
  <cols>
    <col min="2" max="2" width="47.5546875" customWidth="1"/>
    <col min="3" max="4" width="12.44140625" bestFit="1" customWidth="1"/>
    <col min="5" max="5" width="14.33203125" style="1" customWidth="1"/>
    <col min="6" max="6" width="13.44140625" style="1" bestFit="1" customWidth="1"/>
    <col min="7" max="8" width="11.6640625" style="1" bestFit="1" customWidth="1"/>
    <col min="9" max="9" width="11.44140625" style="1"/>
    <col min="10" max="10" width="13" bestFit="1" customWidth="1"/>
  </cols>
  <sheetData>
    <row r="1" spans="1:6" x14ac:dyDescent="0.3">
      <c r="A1" t="s">
        <v>73</v>
      </c>
    </row>
    <row r="2" spans="1:6" ht="15" x14ac:dyDescent="0.25">
      <c r="B2" t="s">
        <v>80</v>
      </c>
      <c r="C2" s="1">
        <v>1865785.3844640693</v>
      </c>
    </row>
    <row r="3" spans="1:6" x14ac:dyDescent="0.3">
      <c r="B3" t="s">
        <v>76</v>
      </c>
      <c r="C3" s="2">
        <v>-250000</v>
      </c>
    </row>
    <row r="4" spans="1:6" ht="15" x14ac:dyDescent="0.25">
      <c r="B4" t="s">
        <v>77</v>
      </c>
      <c r="C4" s="1">
        <f>SUM(C2:C3)</f>
        <v>1615785.3844640693</v>
      </c>
    </row>
    <row r="5" spans="1:6" ht="15" x14ac:dyDescent="0.25">
      <c r="D5" s="1"/>
    </row>
    <row r="6" spans="1:6" x14ac:dyDescent="0.3">
      <c r="B6" s="54" t="s">
        <v>78</v>
      </c>
      <c r="C6" s="2">
        <v>1615785.38</v>
      </c>
      <c r="D6" s="1">
        <f>+C6/1000</f>
        <v>1615.7853799999998</v>
      </c>
      <c r="E6" s="1" t="s">
        <v>79</v>
      </c>
      <c r="F6" s="1">
        <f>+D6*600</f>
        <v>969471.22799999989</v>
      </c>
    </row>
    <row r="7" spans="1:6" ht="15" x14ac:dyDescent="0.25">
      <c r="C7" s="53">
        <v>1000</v>
      </c>
      <c r="D7" s="1"/>
    </row>
    <row r="8" spans="1:6" ht="15" x14ac:dyDescent="0.25">
      <c r="C8" s="1"/>
      <c r="D8" s="1"/>
    </row>
    <row r="9" spans="1:6" ht="15" x14ac:dyDescent="0.25">
      <c r="B9" t="s">
        <v>82</v>
      </c>
      <c r="C9" s="1">
        <v>-374954.67666665453</v>
      </c>
      <c r="D9" s="1"/>
    </row>
    <row r="10" spans="1:6" x14ac:dyDescent="0.3">
      <c r="B10" t="s">
        <v>76</v>
      </c>
      <c r="C10" s="2">
        <v>-250000</v>
      </c>
      <c r="D10" s="1"/>
    </row>
    <row r="11" spans="1:6" x14ac:dyDescent="0.3">
      <c r="B11" t="s">
        <v>81</v>
      </c>
      <c r="C11" s="1">
        <f>SUM(C9:C10)</f>
        <v>-624954.67666665453</v>
      </c>
      <c r="D11" s="1"/>
    </row>
    <row r="12" spans="1:6" ht="15" x14ac:dyDescent="0.25">
      <c r="C12" s="1"/>
      <c r="D12" s="1"/>
    </row>
    <row r="13" spans="1:6" x14ac:dyDescent="0.3">
      <c r="B13" s="54" t="s">
        <v>83</v>
      </c>
      <c r="C13" s="2">
        <f>+C11</f>
        <v>-624954.67666665453</v>
      </c>
      <c r="D13" s="1">
        <f>+C13/1000</f>
        <v>-624.95467666665456</v>
      </c>
      <c r="E13" s="1" t="s">
        <v>79</v>
      </c>
      <c r="F13" s="1">
        <f>+D13*600</f>
        <v>-374972.80599999276</v>
      </c>
    </row>
    <row r="14" spans="1:6" ht="15" x14ac:dyDescent="0.25">
      <c r="C14" s="53">
        <v>1000</v>
      </c>
      <c r="D14" s="1"/>
    </row>
    <row r="15" spans="1:6" ht="15" x14ac:dyDescent="0.25">
      <c r="C15" s="1"/>
      <c r="D15" s="1"/>
    </row>
    <row r="16" spans="1:6" x14ac:dyDescent="0.3">
      <c r="A16" t="s">
        <v>84</v>
      </c>
      <c r="C16" s="1"/>
      <c r="D16" s="1"/>
    </row>
    <row r="18" spans="1:6" x14ac:dyDescent="0.3">
      <c r="B18" t="s">
        <v>85</v>
      </c>
      <c r="C18" t="s">
        <v>86</v>
      </c>
      <c r="D18" s="1">
        <f>+D6*400</f>
        <v>646314.15199999989</v>
      </c>
    </row>
    <row r="19" spans="1:6" ht="15" x14ac:dyDescent="0.25">
      <c r="D19" s="1"/>
    </row>
    <row r="20" spans="1:6" x14ac:dyDescent="0.3">
      <c r="B20" t="s">
        <v>87</v>
      </c>
      <c r="C20" s="55" t="s">
        <v>88</v>
      </c>
      <c r="D20" s="1">
        <f>+D13*400</f>
        <v>-249981.87066666182</v>
      </c>
    </row>
    <row r="21" spans="1:6" ht="15" x14ac:dyDescent="0.25">
      <c r="C21" s="55"/>
      <c r="D21" s="1"/>
    </row>
    <row r="22" spans="1:6" x14ac:dyDescent="0.3">
      <c r="A22" t="s">
        <v>89</v>
      </c>
      <c r="C22" s="55"/>
      <c r="D22" s="1"/>
    </row>
    <row r="23" spans="1:6" ht="15" x14ac:dyDescent="0.25">
      <c r="C23" s="55"/>
      <c r="D23" s="1"/>
    </row>
    <row r="24" spans="1:6" ht="15" x14ac:dyDescent="0.25">
      <c r="B24" t="s">
        <v>90</v>
      </c>
      <c r="C24" s="1">
        <v>2984099.8899999997</v>
      </c>
      <c r="D24" s="1"/>
    </row>
    <row r="25" spans="1:6" x14ac:dyDescent="0.3">
      <c r="B25" t="s">
        <v>91</v>
      </c>
      <c r="C25" s="1">
        <v>224972.79999999999</v>
      </c>
      <c r="D25" s="1"/>
    </row>
    <row r="26" spans="1:6" x14ac:dyDescent="0.3">
      <c r="B26" t="s">
        <v>92</v>
      </c>
      <c r="C26" s="2">
        <v>-374972.80599999276</v>
      </c>
      <c r="D26" s="1"/>
    </row>
    <row r="27" spans="1:6" ht="15" x14ac:dyDescent="0.25">
      <c r="B27" t="s">
        <v>93</v>
      </c>
      <c r="C27" s="1">
        <f>SUM(C24:C26)</f>
        <v>2834099.8840000066</v>
      </c>
      <c r="D27" s="1"/>
    </row>
    <row r="28" spans="1:6" ht="15" x14ac:dyDescent="0.25">
      <c r="C28" s="1"/>
      <c r="D28" s="1"/>
    </row>
    <row r="29" spans="1:6" ht="15" x14ac:dyDescent="0.25">
      <c r="C29" s="1"/>
      <c r="D29" s="1"/>
    </row>
    <row r="30" spans="1:6" ht="15" x14ac:dyDescent="0.25">
      <c r="A30" s="38"/>
      <c r="B30" s="38"/>
      <c r="C30" s="38" t="s">
        <v>51</v>
      </c>
      <c r="D30" s="38" t="s">
        <v>1</v>
      </c>
      <c r="E30" s="52" t="s">
        <v>71</v>
      </c>
      <c r="F30" s="57" t="s">
        <v>72</v>
      </c>
    </row>
    <row r="31" spans="1:6" ht="15" x14ac:dyDescent="0.25">
      <c r="A31" s="3" t="s">
        <v>2</v>
      </c>
      <c r="B31" s="4"/>
      <c r="C31" s="5"/>
      <c r="D31" s="5"/>
    </row>
    <row r="32" spans="1:6" ht="15" x14ac:dyDescent="0.25">
      <c r="A32" s="6" t="s">
        <v>7</v>
      </c>
      <c r="B32" s="7"/>
      <c r="C32" s="8"/>
      <c r="D32" s="20"/>
    </row>
    <row r="33" spans="1:7" ht="15" x14ac:dyDescent="0.25">
      <c r="A33" s="7"/>
      <c r="B33" s="9" t="s">
        <v>58</v>
      </c>
      <c r="C33" s="8">
        <v>2207948.35</v>
      </c>
      <c r="D33" s="20">
        <v>3000000</v>
      </c>
      <c r="F33" s="1">
        <f>SUM(C33:E33)</f>
        <v>5207948.3499999996</v>
      </c>
    </row>
    <row r="34" spans="1:7" x14ac:dyDescent="0.3">
      <c r="A34" s="7"/>
      <c r="B34" s="9" t="s">
        <v>59</v>
      </c>
      <c r="C34" s="8">
        <v>75000</v>
      </c>
      <c r="D34" s="20">
        <v>102105.44085</v>
      </c>
      <c r="E34" s="60">
        <v>-50000</v>
      </c>
      <c r="F34" s="1">
        <f t="shared" ref="F34:F56" si="0">SUM(C34:E34)</f>
        <v>127105.44085000001</v>
      </c>
      <c r="G34" s="1" t="s">
        <v>94</v>
      </c>
    </row>
    <row r="35" spans="1:7" x14ac:dyDescent="0.3">
      <c r="A35" s="7"/>
      <c r="B35" s="9" t="s">
        <v>60</v>
      </c>
      <c r="C35" s="8">
        <v>879110.73</v>
      </c>
      <c r="D35" s="20">
        <v>836405.79929998133</v>
      </c>
      <c r="F35" s="1">
        <f t="shared" si="0"/>
        <v>1715516.5292999814</v>
      </c>
    </row>
    <row r="36" spans="1:7" x14ac:dyDescent="0.3">
      <c r="A36" s="7"/>
      <c r="B36" s="9" t="s">
        <v>61</v>
      </c>
      <c r="C36" s="10">
        <v>2925668.77</v>
      </c>
      <c r="D36" s="10">
        <v>199211.24113957401</v>
      </c>
      <c r="E36" s="60">
        <v>-250000</v>
      </c>
      <c r="F36" s="2">
        <f t="shared" si="0"/>
        <v>2874880.011139574</v>
      </c>
      <c r="G36" s="1" t="s">
        <v>96</v>
      </c>
    </row>
    <row r="37" spans="1:7" ht="15" x14ac:dyDescent="0.25">
      <c r="A37" s="11"/>
      <c r="B37" s="12" t="s">
        <v>8</v>
      </c>
      <c r="C37" s="13">
        <f>SUM(C33:C36)</f>
        <v>6087727.8499999996</v>
      </c>
      <c r="D37" s="13">
        <f>SUM(D33:D36)</f>
        <v>4137722.4812895553</v>
      </c>
      <c r="F37" s="1">
        <f>SUM(F33:F36)</f>
        <v>9925450.331289554</v>
      </c>
    </row>
    <row r="38" spans="1:7" ht="15" x14ac:dyDescent="0.25">
      <c r="A38" s="6" t="s">
        <v>9</v>
      </c>
      <c r="B38" s="7"/>
      <c r="C38" s="8"/>
      <c r="D38" s="20"/>
    </row>
    <row r="39" spans="1:7" ht="15" x14ac:dyDescent="0.25">
      <c r="A39" s="7"/>
      <c r="B39" s="9" t="s">
        <v>50</v>
      </c>
      <c r="C39" s="56">
        <v>969471.22799999989</v>
      </c>
      <c r="D39" s="10">
        <v>0</v>
      </c>
      <c r="E39" s="60">
        <v>-969471.23</v>
      </c>
      <c r="F39" s="2">
        <f t="shared" si="0"/>
        <v>-2.0000000949949026E-3</v>
      </c>
    </row>
    <row r="40" spans="1:7" ht="15" x14ac:dyDescent="0.25">
      <c r="A40" s="9"/>
      <c r="B40" s="12" t="s">
        <v>10</v>
      </c>
      <c r="C40" s="13">
        <f>SUM(C39)</f>
        <v>969471.22799999989</v>
      </c>
      <c r="D40" s="13">
        <f>SUM(D39)</f>
        <v>0</v>
      </c>
      <c r="F40" s="58">
        <f>SUM(F39)</f>
        <v>-2.0000000949949026E-3</v>
      </c>
    </row>
    <row r="41" spans="1:7" ht="15.75" thickBot="1" x14ac:dyDescent="0.3">
      <c r="A41" s="21"/>
      <c r="B41" s="29" t="s">
        <v>11</v>
      </c>
      <c r="C41" s="15">
        <f>SUM(C40,C37)</f>
        <v>7057199.0779999997</v>
      </c>
      <c r="D41" s="15">
        <f>D37+D40</f>
        <v>4137722.4812895553</v>
      </c>
      <c r="F41" s="59">
        <f>+F37+F40</f>
        <v>9925450.3292895537</v>
      </c>
    </row>
    <row r="42" spans="1:7" ht="15.75" thickTop="1" x14ac:dyDescent="0.25">
      <c r="A42" s="27"/>
      <c r="B42" s="28"/>
      <c r="C42" s="16"/>
      <c r="D42" s="16"/>
    </row>
    <row r="43" spans="1:7" ht="15" x14ac:dyDescent="0.25">
      <c r="A43" s="17" t="s">
        <v>3</v>
      </c>
      <c r="B43" s="4"/>
      <c r="C43" s="5"/>
      <c r="D43" s="5"/>
    </row>
    <row r="44" spans="1:7" ht="15" x14ac:dyDescent="0.25">
      <c r="A44" s="18" t="s">
        <v>12</v>
      </c>
      <c r="B44" s="7"/>
      <c r="C44" s="8"/>
      <c r="D44" s="8"/>
    </row>
    <row r="45" spans="1:7" ht="15" x14ac:dyDescent="0.25">
      <c r="A45" s="19"/>
      <c r="B45" s="9" t="s">
        <v>62</v>
      </c>
      <c r="C45" s="20">
        <f>4082231.6</f>
        <v>4082231.6</v>
      </c>
      <c r="D45" s="20">
        <f>123248.87+1803300.74</f>
        <v>1926549.6099999999</v>
      </c>
      <c r="E45" s="60">
        <v>-50000</v>
      </c>
      <c r="F45" s="1">
        <f t="shared" si="0"/>
        <v>5958781.21</v>
      </c>
      <c r="G45" s="1" t="s">
        <v>95</v>
      </c>
    </row>
    <row r="46" spans="1:7" ht="15" x14ac:dyDescent="0.25">
      <c r="A46" s="19"/>
      <c r="B46" s="9" t="s">
        <v>63</v>
      </c>
      <c r="C46" s="20">
        <v>140867.59</v>
      </c>
      <c r="D46" s="20">
        <v>243282.04597548614</v>
      </c>
      <c r="F46" s="1">
        <f t="shared" si="0"/>
        <v>384149.63597548613</v>
      </c>
    </row>
    <row r="47" spans="1:7" ht="15" x14ac:dyDescent="0.25">
      <c r="A47" s="19"/>
      <c r="B47" s="21" t="s">
        <v>64</v>
      </c>
      <c r="C47" s="10">
        <v>0</v>
      </c>
      <c r="D47" s="10">
        <v>102105.44085</v>
      </c>
      <c r="F47" s="2">
        <f t="shared" si="0"/>
        <v>102105.44085</v>
      </c>
    </row>
    <row r="48" spans="1:7" ht="15" x14ac:dyDescent="0.25">
      <c r="A48" s="22"/>
      <c r="B48" s="12" t="s">
        <v>13</v>
      </c>
      <c r="C48" s="13">
        <f>SUM(C45:C47)</f>
        <v>4223099.1900000004</v>
      </c>
      <c r="D48" s="13">
        <f>SUM(D45:D47)</f>
        <v>2271937.096825486</v>
      </c>
      <c r="F48" s="58">
        <f>SUM(F45:F47)</f>
        <v>6445036.2868254865</v>
      </c>
    </row>
    <row r="49" spans="1:6" x14ac:dyDescent="0.3">
      <c r="A49" s="18" t="s">
        <v>14</v>
      </c>
      <c r="B49" s="7"/>
      <c r="C49" s="20"/>
      <c r="D49" s="20"/>
    </row>
    <row r="50" spans="1:6" x14ac:dyDescent="0.3">
      <c r="A50" s="19"/>
      <c r="B50" s="9" t="s">
        <v>15</v>
      </c>
      <c r="C50" s="23">
        <v>0</v>
      </c>
      <c r="D50" s="23">
        <v>0</v>
      </c>
    </row>
    <row r="51" spans="1:6" x14ac:dyDescent="0.3">
      <c r="A51" s="24"/>
      <c r="B51" s="12" t="s">
        <v>16</v>
      </c>
      <c r="C51" s="13">
        <f>SUM(C50)</f>
        <v>0</v>
      </c>
      <c r="D51" s="13">
        <f>SUM(D50)</f>
        <v>0</v>
      </c>
      <c r="F51" s="2"/>
    </row>
    <row r="52" spans="1:6" x14ac:dyDescent="0.3">
      <c r="A52" s="24"/>
      <c r="B52" s="14" t="s">
        <v>17</v>
      </c>
      <c r="C52" s="13">
        <f>SUM(C51,C48)</f>
        <v>4223099.1900000004</v>
      </c>
      <c r="D52" s="13">
        <f>SUM(D51,D48)</f>
        <v>2271937.096825486</v>
      </c>
      <c r="F52" s="58">
        <f>+F48+F51</f>
        <v>6445036.2868254865</v>
      </c>
    </row>
    <row r="53" spans="1:6" x14ac:dyDescent="0.3">
      <c r="A53" s="24"/>
      <c r="B53" s="14"/>
      <c r="C53" s="20"/>
      <c r="D53" s="20"/>
    </row>
    <row r="54" spans="1:6" x14ac:dyDescent="0.3">
      <c r="A54" s="24"/>
      <c r="B54" s="14" t="s">
        <v>84</v>
      </c>
      <c r="C54" s="20"/>
      <c r="D54" s="20"/>
      <c r="E54" s="60">
        <v>646314.15199999989</v>
      </c>
      <c r="F54" s="1">
        <f t="shared" si="0"/>
        <v>646314.15199999989</v>
      </c>
    </row>
    <row r="55" spans="1:6" x14ac:dyDescent="0.3">
      <c r="A55" s="17" t="s">
        <v>4</v>
      </c>
      <c r="B55" s="8"/>
      <c r="C55" s="10"/>
      <c r="D55" s="10"/>
      <c r="F55" s="2"/>
    </row>
    <row r="56" spans="1:6" x14ac:dyDescent="0.3">
      <c r="A56" s="25"/>
      <c r="B56" s="26" t="s">
        <v>18</v>
      </c>
      <c r="C56" s="56">
        <f>+C41-C52</f>
        <v>2834099.8879999993</v>
      </c>
      <c r="D56" s="98">
        <f>+D41-D52</f>
        <v>1865785.3844640693</v>
      </c>
      <c r="E56" s="60">
        <v>-1865785.38</v>
      </c>
      <c r="F56" s="2">
        <f t="shared" si="0"/>
        <v>2834099.8924640687</v>
      </c>
    </row>
    <row r="57" spans="1:6" ht="15" thickBot="1" x14ac:dyDescent="0.35">
      <c r="A57" s="25"/>
      <c r="B57" s="12" t="s">
        <v>19</v>
      </c>
      <c r="C57" s="15">
        <f>+C48+C56</f>
        <v>7057199.0779999997</v>
      </c>
      <c r="D57" s="15">
        <f>+D48+D56</f>
        <v>4137722.4812895553</v>
      </c>
      <c r="F57" s="59">
        <f>+F52+F54+F56</f>
        <v>9925450.3312895559</v>
      </c>
    </row>
    <row r="58" spans="1:6" ht="15" thickTop="1" x14ac:dyDescent="0.3"/>
    <row r="60" spans="1:6" x14ac:dyDescent="0.3">
      <c r="A60" s="112" t="s">
        <v>29</v>
      </c>
      <c r="B60" s="112"/>
      <c r="C60" s="112"/>
      <c r="D60" s="112"/>
    </row>
    <row r="61" spans="1:6" x14ac:dyDescent="0.3">
      <c r="A61" s="32"/>
      <c r="B61" s="7"/>
      <c r="C61" s="49" t="s">
        <v>51</v>
      </c>
      <c r="D61" s="49" t="s">
        <v>1</v>
      </c>
      <c r="E61" s="52" t="s">
        <v>71</v>
      </c>
      <c r="F61" s="57" t="s">
        <v>72</v>
      </c>
    </row>
    <row r="62" spans="1:6" x14ac:dyDescent="0.3">
      <c r="A62" s="32"/>
      <c r="B62" s="7"/>
      <c r="C62" s="49"/>
      <c r="D62" s="49"/>
      <c r="E62" s="52"/>
      <c r="F62" s="57"/>
    </row>
    <row r="63" spans="1:6" x14ac:dyDescent="0.3">
      <c r="A63" s="6" t="s">
        <v>56</v>
      </c>
      <c r="B63" s="12"/>
      <c r="C63" s="33">
        <v>6103928.4100000001</v>
      </c>
      <c r="D63" s="33">
        <v>10353403.973195221</v>
      </c>
      <c r="E63" s="1">
        <v>-1700000</v>
      </c>
      <c r="F63" s="1">
        <f>SUM(C63:E63)</f>
        <v>14757332.383195221</v>
      </c>
    </row>
    <row r="64" spans="1:6" x14ac:dyDescent="0.3">
      <c r="A64" s="6" t="s">
        <v>57</v>
      </c>
      <c r="B64" s="12"/>
      <c r="C64" s="34">
        <v>-4235644.37</v>
      </c>
      <c r="D64" s="34">
        <v>-7485520.7251511887</v>
      </c>
      <c r="E64" s="2">
        <v>1450000</v>
      </c>
      <c r="F64" s="2">
        <f>SUM(C64:E64)</f>
        <v>-10271165.09515119</v>
      </c>
    </row>
    <row r="65" spans="1:10" x14ac:dyDescent="0.3">
      <c r="A65" s="7"/>
      <c r="B65" s="36" t="s">
        <v>20</v>
      </c>
      <c r="C65" s="33">
        <f>SUM(C63:C64)</f>
        <v>1868284.04</v>
      </c>
      <c r="D65" s="33">
        <f>SUM(D63:D64)</f>
        <v>2867883.2480440326</v>
      </c>
      <c r="E65" s="60">
        <f>SUM(E63:E64)</f>
        <v>-250000</v>
      </c>
      <c r="F65" s="1">
        <f>SUM(F63:F64)</f>
        <v>4486167.2880440317</v>
      </c>
      <c r="G65" s="1" t="s">
        <v>96</v>
      </c>
      <c r="J65" s="51"/>
    </row>
    <row r="66" spans="1:10" x14ac:dyDescent="0.3">
      <c r="A66" s="32"/>
      <c r="B66" s="7"/>
      <c r="C66" s="33"/>
      <c r="D66" s="33"/>
    </row>
    <row r="67" spans="1:10" x14ac:dyDescent="0.3">
      <c r="A67" s="6" t="s">
        <v>5</v>
      </c>
      <c r="B67" s="7"/>
      <c r="C67" s="33"/>
      <c r="D67" s="33"/>
    </row>
    <row r="68" spans="1:10" x14ac:dyDescent="0.3">
      <c r="A68" s="7"/>
      <c r="B68" s="32" t="s">
        <v>21</v>
      </c>
      <c r="C68" s="33">
        <f>-332767.12+226129.53-1021.62</f>
        <v>-107659.20999999999</v>
      </c>
      <c r="D68" s="33">
        <v>-277646.55784955068</v>
      </c>
      <c r="F68" s="1">
        <f>SUM(C68:E68)</f>
        <v>-385305.7678495507</v>
      </c>
    </row>
    <row r="69" spans="1:10" x14ac:dyDescent="0.3">
      <c r="A69" s="7"/>
      <c r="B69" s="32" t="s">
        <v>101</v>
      </c>
      <c r="C69" s="33">
        <v>-140310.49</v>
      </c>
      <c r="D69" s="33">
        <v>-392172.02284019202</v>
      </c>
      <c r="F69" s="1">
        <f t="shared" ref="F69:F72" si="1">SUM(C69:E69)</f>
        <v>-532482.51284019207</v>
      </c>
    </row>
    <row r="70" spans="1:10" x14ac:dyDescent="0.3">
      <c r="A70" s="7"/>
      <c r="B70" s="32" t="s">
        <v>22</v>
      </c>
      <c r="C70" s="33">
        <v>-717815.13</v>
      </c>
      <c r="D70" s="33">
        <v>-1291337.0538851549</v>
      </c>
      <c r="F70" s="1">
        <f t="shared" si="1"/>
        <v>-2009152.1838851548</v>
      </c>
    </row>
    <row r="71" spans="1:10" x14ac:dyDescent="0.3">
      <c r="A71" s="7"/>
      <c r="B71" s="32" t="s">
        <v>23</v>
      </c>
      <c r="C71" s="33">
        <v>-416865.74</v>
      </c>
      <c r="D71" s="33">
        <v>-898487.10537395393</v>
      </c>
      <c r="F71" s="1">
        <f t="shared" si="1"/>
        <v>-1315352.8453739539</v>
      </c>
    </row>
    <row r="72" spans="1:10" x14ac:dyDescent="0.3">
      <c r="A72" s="7"/>
      <c r="B72" s="32" t="s">
        <v>24</v>
      </c>
      <c r="C72" s="34">
        <v>-133372.57</v>
      </c>
      <c r="D72" s="34">
        <f>-248826.630080758-134368.55</f>
        <v>-383195.180080758</v>
      </c>
      <c r="F72" s="2">
        <f t="shared" si="1"/>
        <v>-516567.75008075801</v>
      </c>
    </row>
    <row r="73" spans="1:10" x14ac:dyDescent="0.3">
      <c r="A73" s="7"/>
      <c r="B73" s="36" t="s">
        <v>20</v>
      </c>
      <c r="C73" s="33">
        <f>SUM(C65:C72)</f>
        <v>352260.90000000008</v>
      </c>
      <c r="D73" s="33">
        <f>SUM(D65:D72)</f>
        <v>-374954.67198557692</v>
      </c>
      <c r="F73" s="1">
        <f>SUM(F65:F72)</f>
        <v>-272693.77198557742</v>
      </c>
    </row>
    <row r="74" spans="1:10" x14ac:dyDescent="0.3">
      <c r="A74" s="6" t="s">
        <v>25</v>
      </c>
      <c r="B74" s="32"/>
      <c r="C74" s="33"/>
      <c r="D74" s="33"/>
    </row>
    <row r="75" spans="1:10" x14ac:dyDescent="0.3">
      <c r="A75" s="6"/>
      <c r="B75" s="7"/>
      <c r="C75" s="33"/>
      <c r="D75" s="33"/>
    </row>
    <row r="76" spans="1:10" x14ac:dyDescent="0.3">
      <c r="A76" s="7"/>
      <c r="B76" s="32" t="s">
        <v>55</v>
      </c>
      <c r="C76" s="61">
        <v>-374972.80599999276</v>
      </c>
      <c r="D76" s="34">
        <v>0</v>
      </c>
      <c r="E76" s="60">
        <v>374972.81</v>
      </c>
      <c r="F76" s="2">
        <f>SUM(C76:E76)</f>
        <v>4.0000072331167758E-3</v>
      </c>
    </row>
    <row r="77" spans="1:10" x14ac:dyDescent="0.3">
      <c r="A77" s="32"/>
      <c r="B77" s="32"/>
      <c r="C77" s="7"/>
      <c r="D77" s="7"/>
    </row>
    <row r="78" spans="1:10" ht="15" thickBot="1" x14ac:dyDescent="0.35">
      <c r="A78" s="6"/>
      <c r="B78" s="32" t="s">
        <v>28</v>
      </c>
      <c r="C78" s="35">
        <f>SUM(C73:C76)</f>
        <v>-22711.905999992683</v>
      </c>
      <c r="D78" s="35">
        <f>SUM(D73:D76)</f>
        <v>-374954.67198557692</v>
      </c>
      <c r="F78" s="33">
        <f>SUM(F73:F76)</f>
        <v>-272693.76798557019</v>
      </c>
      <c r="J78" s="47"/>
    </row>
    <row r="79" spans="1:10" ht="15" thickTop="1" x14ac:dyDescent="0.3">
      <c r="B79" s="14" t="s">
        <v>84</v>
      </c>
      <c r="F79" s="62">
        <v>249981.870666662</v>
      </c>
    </row>
    <row r="80" spans="1:10" ht="15" thickBot="1" x14ac:dyDescent="0.35">
      <c r="F80" s="59">
        <f>SUM(F78:F79)</f>
        <v>-22711.897318908188</v>
      </c>
    </row>
    <row r="81" spans="1:7" ht="15" thickTop="1" x14ac:dyDescent="0.3"/>
    <row r="82" spans="1:7" x14ac:dyDescent="0.3">
      <c r="A82" s="112" t="s">
        <v>147</v>
      </c>
      <c r="B82" s="112"/>
      <c r="C82" s="112"/>
      <c r="D82" s="112"/>
      <c r="E82" s="112"/>
      <c r="F82" s="112"/>
      <c r="G82" s="112"/>
    </row>
    <row r="83" spans="1:7" x14ac:dyDescent="0.3">
      <c r="A83" s="7"/>
      <c r="B83" s="7"/>
      <c r="C83" s="38" t="s">
        <v>51</v>
      </c>
      <c r="D83" s="38" t="s">
        <v>1</v>
      </c>
      <c r="E83" s="52" t="s">
        <v>71</v>
      </c>
      <c r="F83" s="57" t="s">
        <v>72</v>
      </c>
    </row>
    <row r="84" spans="1:7" x14ac:dyDescent="0.3">
      <c r="A84" s="44" t="s">
        <v>43</v>
      </c>
      <c r="B84" s="7"/>
      <c r="C84" s="8"/>
      <c r="D84" s="8"/>
    </row>
    <row r="85" spans="1:7" x14ac:dyDescent="0.3">
      <c r="A85" s="7"/>
      <c r="B85" s="45" t="s">
        <v>44</v>
      </c>
      <c r="C85" s="8">
        <v>1196699.26</v>
      </c>
      <c r="D85" s="8">
        <v>1500000</v>
      </c>
      <c r="E85" s="1">
        <v>-1000000</v>
      </c>
      <c r="F85" s="1">
        <f>SUM(C85:E85)</f>
        <v>1696699.2599999998</v>
      </c>
    </row>
    <row r="86" spans="1:7" x14ac:dyDescent="0.3">
      <c r="A86" s="7"/>
      <c r="B86" s="45" t="s">
        <v>45</v>
      </c>
      <c r="C86" s="10">
        <v>2207948.35</v>
      </c>
      <c r="D86" s="10">
        <v>3000000</v>
      </c>
      <c r="E86" s="2"/>
      <c r="F86" s="2">
        <f>SUM(C86:E86)</f>
        <v>5207948.3499999996</v>
      </c>
    </row>
    <row r="87" spans="1:7" ht="15" thickBot="1" x14ac:dyDescent="0.35">
      <c r="A87" s="7"/>
      <c r="B87" s="45" t="s">
        <v>46</v>
      </c>
      <c r="C87" s="15">
        <f>-C85+C86</f>
        <v>1011249.0900000001</v>
      </c>
      <c r="D87" s="15">
        <f>-D85+D86</f>
        <v>1500000</v>
      </c>
      <c r="E87" s="60">
        <f>+E86-E85</f>
        <v>1000000</v>
      </c>
      <c r="F87" s="59">
        <f>+F86-F85</f>
        <v>3511249.09</v>
      </c>
    </row>
    <row r="88" spans="1:7" ht="15" thickTop="1" x14ac:dyDescent="0.3">
      <c r="A88" s="45"/>
      <c r="B88" s="7"/>
      <c r="C88" s="8"/>
      <c r="D88" s="8"/>
    </row>
    <row r="89" spans="1:7" x14ac:dyDescent="0.3">
      <c r="A89" s="44" t="s">
        <v>47</v>
      </c>
      <c r="B89" s="7"/>
      <c r="C89" s="8"/>
      <c r="D89" s="8"/>
    </row>
    <row r="90" spans="1:7" ht="15.6" x14ac:dyDescent="0.4">
      <c r="A90" s="46" t="s">
        <v>0</v>
      </c>
      <c r="B90" s="7"/>
      <c r="C90" s="40"/>
      <c r="D90" s="40"/>
    </row>
    <row r="91" spans="1:7" x14ac:dyDescent="0.3">
      <c r="A91" s="41"/>
      <c r="B91" s="7"/>
      <c r="C91" s="8"/>
      <c r="D91" s="8"/>
    </row>
    <row r="92" spans="1:7" x14ac:dyDescent="0.3">
      <c r="A92" s="7"/>
      <c r="B92" s="41" t="s">
        <v>31</v>
      </c>
      <c r="C92" s="8"/>
      <c r="D92" s="8"/>
    </row>
    <row r="93" spans="1:7" x14ac:dyDescent="0.3">
      <c r="A93" s="42" t="s">
        <v>32</v>
      </c>
      <c r="B93" s="7"/>
      <c r="C93" s="8">
        <v>8751944.4100000001</v>
      </c>
      <c r="D93" s="8">
        <v>10077423.630000001</v>
      </c>
      <c r="E93" s="60">
        <v>-1650000</v>
      </c>
      <c r="F93" s="1">
        <f>SUM(C93:E93)</f>
        <v>17179368.039999999</v>
      </c>
    </row>
    <row r="94" spans="1:7" x14ac:dyDescent="0.3">
      <c r="A94" s="42" t="s">
        <v>33</v>
      </c>
      <c r="B94" s="7"/>
      <c r="C94" s="8">
        <v>135.11000000000001</v>
      </c>
      <c r="D94" s="8">
        <v>0</v>
      </c>
      <c r="F94" s="2">
        <f t="shared" ref="F94:F112" si="2">SUM(C94:E94)</f>
        <v>135.11000000000001</v>
      </c>
    </row>
    <row r="95" spans="1:7" x14ac:dyDescent="0.3">
      <c r="A95" s="42"/>
      <c r="B95" s="7" t="s">
        <v>34</v>
      </c>
      <c r="C95" s="13">
        <f>SUM(C93:C94)</f>
        <v>8752079.5199999996</v>
      </c>
      <c r="D95" s="13">
        <f>SUM(D93:D94)</f>
        <v>10077423.630000001</v>
      </c>
      <c r="F95" s="58">
        <f>SUM(F93:F94)</f>
        <v>17179503.149999999</v>
      </c>
    </row>
    <row r="96" spans="1:7" x14ac:dyDescent="0.3">
      <c r="A96" s="7"/>
      <c r="B96" s="7"/>
      <c r="C96" s="8"/>
      <c r="D96" s="8"/>
    </row>
    <row r="97" spans="1:6" x14ac:dyDescent="0.3">
      <c r="A97" s="43"/>
      <c r="B97" s="41" t="s">
        <v>35</v>
      </c>
      <c r="C97" s="8"/>
      <c r="D97" s="8"/>
    </row>
    <row r="98" spans="1:6" x14ac:dyDescent="0.3">
      <c r="A98" s="42" t="s">
        <v>36</v>
      </c>
      <c r="B98" s="7"/>
      <c r="C98" s="8">
        <f>5547959.28-1119471.23+282371.95-224972.8</f>
        <v>4485887.2000000011</v>
      </c>
      <c r="D98" s="8">
        <f>7636970.9-1803300.74+440900.44+213986.92</f>
        <v>6488557.5200000005</v>
      </c>
      <c r="E98" s="60">
        <v>-1650000</v>
      </c>
      <c r="F98" s="1">
        <f t="shared" si="2"/>
        <v>9324444.7200000025</v>
      </c>
    </row>
    <row r="99" spans="1:6" x14ac:dyDescent="0.3">
      <c r="A99" s="42" t="s">
        <v>104</v>
      </c>
      <c r="B99" s="7"/>
      <c r="C99" s="8">
        <v>140310.49</v>
      </c>
      <c r="D99" s="8">
        <v>392172.03</v>
      </c>
      <c r="F99" s="1">
        <f t="shared" si="2"/>
        <v>532482.52</v>
      </c>
    </row>
    <row r="100" spans="1:6" x14ac:dyDescent="0.3">
      <c r="A100" s="42" t="s">
        <v>37</v>
      </c>
      <c r="B100" s="7"/>
      <c r="C100" s="8">
        <v>332767.12</v>
      </c>
      <c r="D100" s="8">
        <v>184676.08237063678</v>
      </c>
      <c r="F100" s="1">
        <f t="shared" si="2"/>
        <v>517443.20237063675</v>
      </c>
    </row>
    <row r="101" spans="1:6" x14ac:dyDescent="0.3">
      <c r="A101" s="42" t="s">
        <v>38</v>
      </c>
      <c r="B101" s="7"/>
      <c r="C101" s="8">
        <v>586374.80000000005</v>
      </c>
      <c r="D101" s="8">
        <v>116183.07194551778</v>
      </c>
      <c r="F101" s="1">
        <f t="shared" si="2"/>
        <v>702557.87194551784</v>
      </c>
    </row>
    <row r="102" spans="1:6" x14ac:dyDescent="0.3">
      <c r="A102" s="42" t="s">
        <v>39</v>
      </c>
      <c r="B102" s="7"/>
      <c r="C102" s="8">
        <v>31126.22</v>
      </c>
      <c r="D102" s="8">
        <v>66260.98</v>
      </c>
      <c r="F102" s="1">
        <f t="shared" si="2"/>
        <v>97387.199999999997</v>
      </c>
    </row>
    <row r="103" spans="1:6" x14ac:dyDescent="0.3">
      <c r="A103" s="42" t="s">
        <v>40</v>
      </c>
      <c r="B103" s="7"/>
      <c r="C103" s="8">
        <v>819920.57</v>
      </c>
      <c r="D103" s="8">
        <v>1293945.7798285782</v>
      </c>
      <c r="F103" s="1">
        <f t="shared" si="2"/>
        <v>2113866.3498285781</v>
      </c>
    </row>
    <row r="104" spans="1:6" x14ac:dyDescent="0.3">
      <c r="A104" s="42" t="s">
        <v>41</v>
      </c>
      <c r="B104" s="7"/>
      <c r="C104" s="8">
        <v>0</v>
      </c>
      <c r="D104" s="8">
        <v>35628.17</v>
      </c>
      <c r="F104" s="2">
        <f t="shared" si="2"/>
        <v>35628.17</v>
      </c>
    </row>
    <row r="105" spans="1:6" x14ac:dyDescent="0.3">
      <c r="A105" s="42"/>
      <c r="B105" s="7" t="s">
        <v>42</v>
      </c>
      <c r="C105" s="13">
        <f>-SUM(C98:C104)</f>
        <v>-6396386.4000000013</v>
      </c>
      <c r="D105" s="13">
        <f>-SUM(D98:D104)</f>
        <v>-8577423.6341447327</v>
      </c>
      <c r="F105" s="58">
        <f>-SUM(F98:F104)</f>
        <v>-13323810.034144733</v>
      </c>
    </row>
    <row r="106" spans="1:6" x14ac:dyDescent="0.3">
      <c r="A106" s="9"/>
      <c r="B106" s="9" t="s">
        <v>48</v>
      </c>
      <c r="C106" s="31"/>
      <c r="D106" s="31"/>
      <c r="F106" s="58"/>
    </row>
    <row r="107" spans="1:6" x14ac:dyDescent="0.3">
      <c r="A107" s="9"/>
      <c r="B107" s="9" t="s">
        <v>49</v>
      </c>
      <c r="C107" s="48">
        <f>+C95+C105</f>
        <v>2355693.1199999982</v>
      </c>
      <c r="D107" s="13">
        <f>+D95+D105</f>
        <v>1499999.9958552681</v>
      </c>
      <c r="F107" s="58">
        <f>SUM(F95,F105)</f>
        <v>3855693.1158552654</v>
      </c>
    </row>
    <row r="109" spans="1:6" ht="15.6" x14ac:dyDescent="0.4">
      <c r="A109" s="46" t="s">
        <v>6</v>
      </c>
      <c r="B109" s="7"/>
      <c r="C109" s="40"/>
      <c r="D109" s="40"/>
    </row>
    <row r="110" spans="1:6" x14ac:dyDescent="0.3">
      <c r="A110" s="41"/>
      <c r="B110" s="7"/>
      <c r="C110" s="8"/>
      <c r="D110" s="8"/>
    </row>
    <row r="111" spans="1:6" x14ac:dyDescent="0.3">
      <c r="A111" s="43"/>
      <c r="B111" s="41" t="s">
        <v>35</v>
      </c>
      <c r="C111" s="8"/>
      <c r="D111" s="8"/>
    </row>
    <row r="112" spans="1:6" x14ac:dyDescent="0.3">
      <c r="A112" s="42" t="s">
        <v>52</v>
      </c>
      <c r="B112" s="7"/>
      <c r="C112" s="8">
        <v>1344444.03</v>
      </c>
      <c r="D112" s="8">
        <v>0</v>
      </c>
      <c r="E112" s="60">
        <v>-1000000</v>
      </c>
      <c r="F112" s="2">
        <f t="shared" si="2"/>
        <v>344444.03</v>
      </c>
    </row>
    <row r="113" spans="1:10" x14ac:dyDescent="0.3">
      <c r="A113" s="42"/>
      <c r="B113" s="7" t="s">
        <v>42</v>
      </c>
      <c r="C113" s="13">
        <f>-SUM(C112:C112)</f>
        <v>-1344444.03</v>
      </c>
      <c r="D113" s="13">
        <f>SUM(D112)</f>
        <v>0</v>
      </c>
      <c r="F113" s="58">
        <f>-SUM(F112)</f>
        <v>-344444.03</v>
      </c>
    </row>
    <row r="114" spans="1:10" x14ac:dyDescent="0.3">
      <c r="A114" s="9"/>
      <c r="B114" s="9" t="s">
        <v>48</v>
      </c>
      <c r="C114" s="31"/>
      <c r="D114" s="31"/>
      <c r="F114" s="58"/>
    </row>
    <row r="115" spans="1:10" x14ac:dyDescent="0.3">
      <c r="A115" s="9"/>
      <c r="B115" s="9" t="s">
        <v>53</v>
      </c>
      <c r="C115" s="48">
        <f>SUM(C113)</f>
        <v>-1344444.03</v>
      </c>
      <c r="D115" s="48">
        <f>SUM(D113)</f>
        <v>0</v>
      </c>
      <c r="F115" s="58">
        <f>SUM(F113:F114)</f>
        <v>-344444.03</v>
      </c>
    </row>
    <row r="117" spans="1:10" x14ac:dyDescent="0.3">
      <c r="B117" s="32" t="s">
        <v>46</v>
      </c>
      <c r="C117" s="50">
        <f>+C107+C115</f>
        <v>1011249.0899999982</v>
      </c>
      <c r="D117" s="50">
        <f>+D107+D115</f>
        <v>1499999.9958552681</v>
      </c>
      <c r="F117" s="64">
        <f>SUM(F107,F115)</f>
        <v>3511249.0858552651</v>
      </c>
    </row>
    <row r="118" spans="1:10" x14ac:dyDescent="0.3">
      <c r="E118"/>
      <c r="J118" s="1"/>
    </row>
    <row r="121" spans="1:10" x14ac:dyDescent="0.3">
      <c r="D121" s="1"/>
    </row>
    <row r="122" spans="1:10" x14ac:dyDescent="0.3">
      <c r="D122" s="1"/>
    </row>
  </sheetData>
  <mergeCells count="2">
    <mergeCell ref="A60:D60"/>
    <mergeCell ref="A82:G82"/>
  </mergeCells>
  <pageMargins left="0.7" right="0.7" top="0.75" bottom="0.75" header="0.3" footer="0.3"/>
  <pageSetup paperSize="9" scale="28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selection activeCell="C36" sqref="C36"/>
    </sheetView>
  </sheetViews>
  <sheetFormatPr baseColWidth="10" defaultRowHeight="14.4" x14ac:dyDescent="0.3"/>
  <cols>
    <col min="2" max="2" width="43.33203125" customWidth="1"/>
    <col min="3" max="3" width="14.5546875" bestFit="1" customWidth="1"/>
    <col min="4" max="4" width="12.44140625" bestFit="1" customWidth="1"/>
    <col min="5" max="5" width="13.109375" bestFit="1" customWidth="1"/>
    <col min="6" max="6" width="13.5546875" bestFit="1" customWidth="1"/>
    <col min="7" max="7" width="14" bestFit="1" customWidth="1"/>
    <col min="8" max="8" width="36.88671875" customWidth="1"/>
    <col min="9" max="9" width="15.109375" customWidth="1"/>
    <col min="10" max="10" width="15" bestFit="1" customWidth="1"/>
    <col min="11" max="11" width="13.33203125" bestFit="1" customWidth="1"/>
    <col min="12" max="12" width="13.109375" bestFit="1" customWidth="1"/>
  </cols>
  <sheetData>
    <row r="1" spans="1:12" ht="15" x14ac:dyDescent="0.25">
      <c r="A1" s="109" t="s">
        <v>144</v>
      </c>
    </row>
    <row r="3" spans="1:12" x14ac:dyDescent="0.3">
      <c r="A3" t="s">
        <v>103</v>
      </c>
    </row>
    <row r="4" spans="1:12" x14ac:dyDescent="0.3">
      <c r="A4" t="s">
        <v>102</v>
      </c>
    </row>
    <row r="5" spans="1:12" x14ac:dyDescent="0.3">
      <c r="A5" t="s">
        <v>122</v>
      </c>
    </row>
    <row r="6" spans="1:12" x14ac:dyDescent="0.3">
      <c r="A6" t="s">
        <v>149</v>
      </c>
    </row>
    <row r="7" spans="1:12" ht="15" x14ac:dyDescent="0.25">
      <c r="A7" t="s">
        <v>141</v>
      </c>
    </row>
    <row r="8" spans="1:12" ht="15" x14ac:dyDescent="0.25">
      <c r="A8" t="s">
        <v>145</v>
      </c>
    </row>
    <row r="9" spans="1:12" x14ac:dyDescent="0.3">
      <c r="A9" t="s">
        <v>146</v>
      </c>
    </row>
    <row r="11" spans="1:12" ht="15" x14ac:dyDescent="0.25">
      <c r="A11" s="112" t="s">
        <v>30</v>
      </c>
      <c r="B11" s="112"/>
      <c r="C11" s="112"/>
      <c r="D11" s="112"/>
      <c r="E11" s="112"/>
      <c r="F11" s="112"/>
      <c r="G11" s="112"/>
    </row>
    <row r="12" spans="1:12" ht="15" x14ac:dyDescent="0.25">
      <c r="A12" s="38"/>
      <c r="B12" s="38"/>
      <c r="C12" s="112" t="s">
        <v>51</v>
      </c>
      <c r="D12" s="112"/>
      <c r="F12" s="112" t="s">
        <v>1</v>
      </c>
      <c r="G12" s="112"/>
    </row>
    <row r="13" spans="1:12" ht="15" x14ac:dyDescent="0.25">
      <c r="A13" s="3" t="s">
        <v>2</v>
      </c>
      <c r="B13" s="4"/>
      <c r="C13" s="65" t="s">
        <v>99</v>
      </c>
      <c r="D13" s="65">
        <v>2022</v>
      </c>
      <c r="E13" s="55"/>
      <c r="F13" s="65" t="s">
        <v>99</v>
      </c>
      <c r="G13" s="65">
        <v>2022</v>
      </c>
    </row>
    <row r="14" spans="1:12" ht="15" x14ac:dyDescent="0.25">
      <c r="A14" s="6" t="s">
        <v>7</v>
      </c>
      <c r="B14" s="7"/>
      <c r="C14" s="8"/>
      <c r="D14" s="20"/>
      <c r="F14" s="8"/>
      <c r="G14" s="20"/>
    </row>
    <row r="15" spans="1:12" ht="15" x14ac:dyDescent="0.25">
      <c r="A15" s="7"/>
      <c r="B15" s="9" t="s">
        <v>58</v>
      </c>
      <c r="C15" s="8">
        <v>5000000</v>
      </c>
      <c r="D15" s="20">
        <v>2207948.35</v>
      </c>
      <c r="F15" s="8">
        <v>2600000</v>
      </c>
      <c r="G15" s="20">
        <v>3000000</v>
      </c>
      <c r="L15" s="51"/>
    </row>
    <row r="16" spans="1:12" ht="15" x14ac:dyDescent="0.25">
      <c r="A16" s="7"/>
      <c r="B16" s="9" t="s">
        <v>59</v>
      </c>
      <c r="C16" s="8">
        <v>45000</v>
      </c>
      <c r="D16" s="20">
        <v>75000</v>
      </c>
      <c r="E16" s="47"/>
      <c r="F16" s="8">
        <v>205000</v>
      </c>
      <c r="G16" s="20">
        <v>102105.44085</v>
      </c>
      <c r="H16" s="47"/>
      <c r="J16" s="47"/>
      <c r="L16" s="47"/>
    </row>
    <row r="17" spans="1:13" x14ac:dyDescent="0.3">
      <c r="A17" s="7"/>
      <c r="B17" s="9" t="s">
        <v>60</v>
      </c>
      <c r="C17" s="8">
        <v>950887.7</v>
      </c>
      <c r="D17" s="20">
        <v>879110.73</v>
      </c>
      <c r="E17" s="47"/>
      <c r="F17" s="8">
        <v>550000</v>
      </c>
      <c r="G17" s="20">
        <v>836405.79929998133</v>
      </c>
      <c r="H17" s="47"/>
      <c r="J17" s="67"/>
    </row>
    <row r="18" spans="1:13" ht="15" x14ac:dyDescent="0.25">
      <c r="A18" s="7"/>
      <c r="B18" s="9" t="s">
        <v>61</v>
      </c>
      <c r="C18" s="10">
        <v>923558.61</v>
      </c>
      <c r="D18" s="10">
        <v>2925668.77</v>
      </c>
      <c r="E18" s="47"/>
      <c r="F18" s="10">
        <v>423000</v>
      </c>
      <c r="G18" s="10">
        <v>199211.24113957401</v>
      </c>
      <c r="H18" s="47"/>
      <c r="J18" s="67"/>
      <c r="L18" s="47"/>
    </row>
    <row r="19" spans="1:13" ht="15" x14ac:dyDescent="0.25">
      <c r="A19" s="11"/>
      <c r="B19" s="12" t="s">
        <v>8</v>
      </c>
      <c r="C19" s="13">
        <f>SUM(C15:C18)</f>
        <v>6919446.3100000005</v>
      </c>
      <c r="D19" s="13">
        <f>SUM(D15:D18)</f>
        <v>6087727.8499999996</v>
      </c>
      <c r="E19" s="47"/>
      <c r="F19" s="13">
        <f>SUM(F15:F18)</f>
        <v>3778000</v>
      </c>
      <c r="G19" s="13">
        <f>SUM(G15:G18)</f>
        <v>4137722.4812895553</v>
      </c>
      <c r="H19" s="47"/>
      <c r="I19" s="47"/>
    </row>
    <row r="20" spans="1:13" ht="15" x14ac:dyDescent="0.25">
      <c r="A20" s="6" t="s">
        <v>9</v>
      </c>
      <c r="B20" s="7"/>
      <c r="C20" s="8"/>
      <c r="D20" s="20"/>
      <c r="F20" s="8"/>
      <c r="G20" s="20"/>
      <c r="L20" s="51"/>
      <c r="M20" s="47"/>
    </row>
    <row r="21" spans="1:13" ht="15" x14ac:dyDescent="0.25">
      <c r="A21" s="7"/>
      <c r="B21" s="9" t="s">
        <v>50</v>
      </c>
      <c r="C21" s="10">
        <f>+D21-120000+C56</f>
        <v>1186800</v>
      </c>
      <c r="D21" s="10">
        <v>969471.22799999989</v>
      </c>
      <c r="E21" s="47"/>
      <c r="F21" s="10"/>
      <c r="G21" s="10">
        <v>0</v>
      </c>
      <c r="J21" s="67"/>
    </row>
    <row r="22" spans="1:13" ht="15" x14ac:dyDescent="0.25">
      <c r="A22" s="9"/>
      <c r="B22" s="12" t="s">
        <v>10</v>
      </c>
      <c r="C22" s="13">
        <f>SUM(C21)</f>
        <v>1186800</v>
      </c>
      <c r="D22" s="13">
        <f>SUM(D21)</f>
        <v>969471.22799999989</v>
      </c>
      <c r="F22" s="13">
        <f>SUM(F21)</f>
        <v>0</v>
      </c>
      <c r="G22" s="13">
        <v>0</v>
      </c>
    </row>
    <row r="23" spans="1:13" ht="15.75" thickBot="1" x14ac:dyDescent="0.3">
      <c r="A23" s="21"/>
      <c r="B23" s="29" t="s">
        <v>11</v>
      </c>
      <c r="C23" s="15">
        <f>SUM(C19,C22)</f>
        <v>8106246.3100000005</v>
      </c>
      <c r="D23" s="15">
        <f>SUM(D19,D22)</f>
        <v>7057199.0779999997</v>
      </c>
      <c r="E23" s="47"/>
      <c r="F23" s="15">
        <f>SUM(F22,F19)</f>
        <v>3778000</v>
      </c>
      <c r="G23" s="15">
        <f>SUM(G19,G22)</f>
        <v>4137722.4812895553</v>
      </c>
      <c r="J23" s="67"/>
    </row>
    <row r="24" spans="1:13" ht="15.75" thickTop="1" x14ac:dyDescent="0.25">
      <c r="A24" s="27"/>
      <c r="B24" s="28"/>
      <c r="C24" s="16"/>
      <c r="D24" s="16"/>
      <c r="F24" s="16"/>
      <c r="G24" s="16"/>
      <c r="J24" s="51"/>
    </row>
    <row r="25" spans="1:13" ht="15" x14ac:dyDescent="0.25">
      <c r="A25" s="17" t="s">
        <v>3</v>
      </c>
      <c r="B25" s="4"/>
      <c r="C25" s="5"/>
      <c r="D25" s="5"/>
      <c r="F25" s="5"/>
      <c r="G25" s="5"/>
      <c r="J25" s="67"/>
      <c r="K25" s="47"/>
    </row>
    <row r="26" spans="1:13" ht="15" x14ac:dyDescent="0.25">
      <c r="A26" s="18" t="s">
        <v>12</v>
      </c>
      <c r="B26" s="7"/>
      <c r="C26" s="8"/>
      <c r="D26" s="8"/>
      <c r="F26" s="8"/>
      <c r="G26" s="8"/>
      <c r="J26" s="51"/>
      <c r="L26" s="51"/>
    </row>
    <row r="27" spans="1:13" ht="15" x14ac:dyDescent="0.25">
      <c r="A27" s="19"/>
      <c r="B27" s="9" t="s">
        <v>62</v>
      </c>
      <c r="C27" s="20">
        <f>3050000+849471.23</f>
        <v>3899471.23</v>
      </c>
      <c r="D27" s="20">
        <v>4082231.6</v>
      </c>
      <c r="E27" s="47"/>
      <c r="F27" s="20">
        <v>1230000</v>
      </c>
      <c r="G27" s="20">
        <v>1926549.6099999999</v>
      </c>
      <c r="H27" s="47"/>
      <c r="J27" s="47"/>
      <c r="L27" s="47"/>
    </row>
    <row r="28" spans="1:13" ht="15" x14ac:dyDescent="0.25">
      <c r="A28" s="19"/>
      <c r="B28" s="9" t="s">
        <v>63</v>
      </c>
      <c r="C28" s="20">
        <v>273900.18</v>
      </c>
      <c r="D28" s="20">
        <v>140867.59</v>
      </c>
      <c r="E28" s="47"/>
      <c r="F28" s="20">
        <v>320000</v>
      </c>
      <c r="G28" s="20">
        <v>243282.04597548614</v>
      </c>
      <c r="H28" s="47"/>
      <c r="J28" s="47"/>
      <c r="K28" s="47"/>
      <c r="L28" s="47"/>
    </row>
    <row r="29" spans="1:13" ht="15" x14ac:dyDescent="0.25">
      <c r="A29" s="19"/>
      <c r="B29" s="21" t="s">
        <v>64</v>
      </c>
      <c r="C29" s="10">
        <v>0</v>
      </c>
      <c r="D29" s="10">
        <v>0</v>
      </c>
      <c r="E29" s="47"/>
      <c r="F29" s="10">
        <v>0</v>
      </c>
      <c r="G29" s="10">
        <v>102105.44085</v>
      </c>
      <c r="H29" s="47"/>
      <c r="I29" s="47"/>
      <c r="J29" s="51"/>
      <c r="L29" s="47"/>
    </row>
    <row r="30" spans="1:13" ht="15" x14ac:dyDescent="0.25">
      <c r="A30" s="22"/>
      <c r="B30" s="12" t="s">
        <v>13</v>
      </c>
      <c r="C30" s="13">
        <f>SUM(C27:C29)</f>
        <v>4173371.41</v>
      </c>
      <c r="D30" s="13">
        <f>SUM(D27:D29)</f>
        <v>4223099.1900000004</v>
      </c>
      <c r="E30" s="47"/>
      <c r="F30" s="13">
        <f>SUM(F27:F29)</f>
        <v>1550000</v>
      </c>
      <c r="G30" s="13">
        <f>SUM(G27:G29)</f>
        <v>2271937.096825486</v>
      </c>
      <c r="H30" s="47"/>
      <c r="J30" s="47"/>
      <c r="L30" s="51"/>
      <c r="M30" s="51"/>
    </row>
    <row r="31" spans="1:13" ht="15" x14ac:dyDescent="0.25">
      <c r="A31" s="18" t="s">
        <v>14</v>
      </c>
      <c r="B31" s="7"/>
      <c r="C31" s="20"/>
      <c r="D31" s="20"/>
      <c r="F31" s="20"/>
      <c r="G31" s="20"/>
      <c r="I31" s="47"/>
      <c r="J31" s="51"/>
    </row>
    <row r="32" spans="1:13" ht="15" x14ac:dyDescent="0.25">
      <c r="A32" s="19"/>
      <c r="B32" s="9" t="s">
        <v>15</v>
      </c>
      <c r="C32" s="23">
        <v>0</v>
      </c>
      <c r="D32" s="23">
        <v>0</v>
      </c>
      <c r="F32" s="23">
        <v>0</v>
      </c>
      <c r="G32" s="23">
        <v>0</v>
      </c>
    </row>
    <row r="33" spans="1:12" ht="15" x14ac:dyDescent="0.25">
      <c r="A33" s="24"/>
      <c r="B33" s="12" t="s">
        <v>16</v>
      </c>
      <c r="C33" s="13">
        <f>SUM(C32)</f>
        <v>0</v>
      </c>
      <c r="D33" s="13">
        <f>SUM(D32)</f>
        <v>0</v>
      </c>
      <c r="F33" s="13">
        <f>SUM(F32)</f>
        <v>0</v>
      </c>
      <c r="G33" s="13">
        <v>0</v>
      </c>
    </row>
    <row r="34" spans="1:12" x14ac:dyDescent="0.3">
      <c r="A34" s="24"/>
      <c r="B34" s="14" t="s">
        <v>17</v>
      </c>
      <c r="C34" s="13">
        <f>SUM(C33,C30)</f>
        <v>4173371.41</v>
      </c>
      <c r="D34" s="13">
        <f>SUM(D30:D32)</f>
        <v>4223099.1900000004</v>
      </c>
      <c r="F34" s="13">
        <f>SUM(F33,F30)</f>
        <v>1550000</v>
      </c>
      <c r="G34" s="13">
        <f>SUM(G30,G33)</f>
        <v>2271937.096825486</v>
      </c>
      <c r="H34" s="47"/>
      <c r="J34" s="47"/>
    </row>
    <row r="35" spans="1:12" x14ac:dyDescent="0.3">
      <c r="A35" s="17" t="s">
        <v>4</v>
      </c>
      <c r="B35" s="8"/>
      <c r="C35" s="10"/>
      <c r="D35" s="10"/>
      <c r="F35" s="10"/>
      <c r="G35" s="10"/>
      <c r="J35" s="51"/>
    </row>
    <row r="36" spans="1:12" x14ac:dyDescent="0.3">
      <c r="A36" s="25"/>
      <c r="B36" s="26" t="s">
        <v>18</v>
      </c>
      <c r="C36" s="10">
        <f>+C23-C34</f>
        <v>3932874.9000000004</v>
      </c>
      <c r="D36" s="10">
        <f>+D23-D34</f>
        <v>2834099.8879999993</v>
      </c>
      <c r="F36" s="10">
        <f>+F23-F34</f>
        <v>2228000</v>
      </c>
      <c r="G36" s="10">
        <f>+G23-G34</f>
        <v>1865785.3844640693</v>
      </c>
      <c r="H36" s="47"/>
      <c r="I36" s="47"/>
      <c r="J36" s="47"/>
    </row>
    <row r="37" spans="1:12" ht="15" thickBot="1" x14ac:dyDescent="0.35">
      <c r="A37" s="25"/>
      <c r="B37" s="12" t="s">
        <v>19</v>
      </c>
      <c r="C37" s="15">
        <f>+C30+C36</f>
        <v>8106246.3100000005</v>
      </c>
      <c r="D37" s="15">
        <f>+D30+D36</f>
        <v>7057199.0779999997</v>
      </c>
      <c r="F37" s="15">
        <f>+F30+F36</f>
        <v>3778000</v>
      </c>
      <c r="G37" s="15">
        <f>+G34+G36</f>
        <v>4137722.4812895553</v>
      </c>
      <c r="I37" s="47"/>
      <c r="J37" s="67"/>
      <c r="K37" s="51"/>
    </row>
    <row r="38" spans="1:12" ht="15" thickTop="1" x14ac:dyDescent="0.3">
      <c r="I38" s="51"/>
      <c r="J38" s="51"/>
      <c r="K38" s="67"/>
    </row>
    <row r="39" spans="1:12" x14ac:dyDescent="0.3">
      <c r="I39" s="47"/>
      <c r="J39" s="67"/>
      <c r="K39" s="67"/>
    </row>
    <row r="40" spans="1:12" x14ac:dyDescent="0.3">
      <c r="A40" s="112" t="s">
        <v>29</v>
      </c>
      <c r="B40" s="112"/>
      <c r="C40" s="112"/>
      <c r="D40" s="112"/>
      <c r="E40" s="112"/>
      <c r="F40" s="112"/>
      <c r="H40" s="47"/>
      <c r="I40" s="47"/>
      <c r="J40" s="67"/>
      <c r="K40" s="51"/>
    </row>
    <row r="41" spans="1:12" x14ac:dyDescent="0.3">
      <c r="A41" s="32"/>
      <c r="B41" s="7"/>
      <c r="C41" s="38" t="s">
        <v>51</v>
      </c>
      <c r="D41" s="38"/>
      <c r="E41" s="39"/>
      <c r="F41" s="38" t="s">
        <v>1</v>
      </c>
      <c r="G41" s="63"/>
      <c r="H41" s="70"/>
      <c r="I41" s="69"/>
      <c r="J41" s="71"/>
      <c r="K41" s="69"/>
    </row>
    <row r="42" spans="1:12" x14ac:dyDescent="0.3">
      <c r="A42" s="32"/>
      <c r="B42" s="7"/>
      <c r="C42" s="65" t="s">
        <v>99</v>
      </c>
      <c r="D42" s="55"/>
      <c r="F42" s="65" t="s">
        <v>99</v>
      </c>
      <c r="H42" s="70"/>
      <c r="I42" s="69"/>
      <c r="J42" s="70"/>
      <c r="K42" s="71"/>
    </row>
    <row r="43" spans="1:12" x14ac:dyDescent="0.3">
      <c r="A43" s="6" t="s">
        <v>56</v>
      </c>
      <c r="B43" s="12"/>
      <c r="C43" s="33">
        <v>22163786.969999999</v>
      </c>
      <c r="F43" s="33">
        <v>6500000</v>
      </c>
      <c r="H43" s="70"/>
      <c r="I43" s="72"/>
      <c r="J43" s="70"/>
      <c r="K43" s="72"/>
    </row>
    <row r="44" spans="1:12" x14ac:dyDescent="0.3">
      <c r="A44" s="6" t="s">
        <v>57</v>
      </c>
      <c r="B44" s="12"/>
      <c r="C44" s="34">
        <v>-17361664.510000002</v>
      </c>
      <c r="F44" s="34">
        <v>-4300000</v>
      </c>
      <c r="G44" s="67"/>
      <c r="H44" s="69"/>
      <c r="I44" s="72"/>
      <c r="J44" s="69"/>
      <c r="K44" s="72"/>
    </row>
    <row r="45" spans="1:12" x14ac:dyDescent="0.3">
      <c r="A45" s="7"/>
      <c r="B45" s="36" t="s">
        <v>20</v>
      </c>
      <c r="C45" s="33">
        <f>SUM(C43:C44)</f>
        <v>4802122.4599999972</v>
      </c>
      <c r="F45" s="33">
        <f>SUM(F43:F44)</f>
        <v>2200000</v>
      </c>
      <c r="H45" s="70"/>
      <c r="I45" s="69"/>
      <c r="J45" s="69"/>
      <c r="K45" s="71"/>
    </row>
    <row r="46" spans="1:12" x14ac:dyDescent="0.3">
      <c r="A46" s="32"/>
      <c r="B46" s="7"/>
      <c r="C46" s="33"/>
      <c r="F46" s="33"/>
      <c r="H46" s="70"/>
      <c r="I46" s="72"/>
      <c r="J46" s="72"/>
      <c r="K46" s="72"/>
      <c r="L46" s="47"/>
    </row>
    <row r="47" spans="1:12" x14ac:dyDescent="0.3">
      <c r="A47" s="6" t="s">
        <v>100</v>
      </c>
      <c r="B47" s="7"/>
      <c r="C47" s="33"/>
      <c r="F47" s="33"/>
      <c r="H47" s="69"/>
      <c r="I47" s="69"/>
      <c r="J47" s="69"/>
      <c r="K47" s="72"/>
    </row>
    <row r="48" spans="1:12" x14ac:dyDescent="0.3">
      <c r="A48" s="7"/>
      <c r="B48" s="32" t="s">
        <v>21</v>
      </c>
      <c r="C48" s="33">
        <v>-1405943.33</v>
      </c>
      <c r="F48" s="33">
        <v>-320000</v>
      </c>
      <c r="H48" s="70"/>
      <c r="I48" s="71"/>
      <c r="J48" s="71"/>
      <c r="K48" s="71"/>
    </row>
    <row r="49" spans="1:12" x14ac:dyDescent="0.3">
      <c r="A49" s="7"/>
      <c r="B49" s="32" t="s">
        <v>101</v>
      </c>
      <c r="C49" s="33">
        <v>-356000</v>
      </c>
      <c r="F49" s="33">
        <v>-230000</v>
      </c>
      <c r="H49" s="70"/>
      <c r="I49" s="72"/>
      <c r="J49" s="69"/>
      <c r="K49" s="72"/>
    </row>
    <row r="50" spans="1:12" x14ac:dyDescent="0.3">
      <c r="A50" s="7"/>
      <c r="B50" s="32" t="s">
        <v>22</v>
      </c>
      <c r="C50" s="33">
        <v>-877158.75</v>
      </c>
      <c r="F50" s="33">
        <v>-360000</v>
      </c>
      <c r="H50" s="70"/>
      <c r="I50" s="72"/>
      <c r="J50" s="70"/>
      <c r="K50" s="72"/>
    </row>
    <row r="51" spans="1:12" x14ac:dyDescent="0.3">
      <c r="A51" s="7"/>
      <c r="B51" s="32" t="s">
        <v>23</v>
      </c>
      <c r="C51" s="33">
        <v>-482087.61</v>
      </c>
      <c r="F51" s="33">
        <v>-280000</v>
      </c>
      <c r="H51" s="70"/>
      <c r="I51" s="72"/>
      <c r="J51" s="70"/>
      <c r="K51" s="72"/>
    </row>
    <row r="52" spans="1:12" x14ac:dyDescent="0.3">
      <c r="A52" s="7"/>
      <c r="B52" s="32" t="s">
        <v>24</v>
      </c>
      <c r="C52" s="34">
        <v>-484064.99</v>
      </c>
      <c r="F52" s="34">
        <v>-56000</v>
      </c>
      <c r="G52" s="51"/>
      <c r="H52" s="70"/>
      <c r="I52" s="72"/>
      <c r="J52" s="70"/>
      <c r="K52" s="72"/>
    </row>
    <row r="53" spans="1:12" x14ac:dyDescent="0.3">
      <c r="A53" s="7"/>
      <c r="B53" s="36" t="s">
        <v>20</v>
      </c>
      <c r="C53" s="33">
        <f>SUM(C45:C52)</f>
        <v>1196867.7799999972</v>
      </c>
      <c r="F53" s="33">
        <f>SUM(F45:F52)</f>
        <v>954000</v>
      </c>
      <c r="H53" s="70"/>
      <c r="I53" s="71"/>
      <c r="J53" s="70"/>
      <c r="K53" s="71"/>
    </row>
    <row r="54" spans="1:12" x14ac:dyDescent="0.3">
      <c r="A54" s="6" t="s">
        <v>25</v>
      </c>
      <c r="B54" s="32"/>
      <c r="C54" s="33"/>
      <c r="F54" s="33"/>
      <c r="H54" s="70"/>
      <c r="I54" s="72"/>
      <c r="J54" s="70"/>
      <c r="K54" s="71"/>
    </row>
    <row r="55" spans="1:12" x14ac:dyDescent="0.3">
      <c r="A55" s="6"/>
      <c r="B55" s="7"/>
      <c r="C55" s="33"/>
      <c r="F55" s="33"/>
      <c r="H55" s="70"/>
      <c r="I55" s="72"/>
      <c r="J55" s="70"/>
      <c r="K55" s="71"/>
    </row>
    <row r="56" spans="1:12" x14ac:dyDescent="0.3">
      <c r="A56" s="7"/>
      <c r="B56" s="32" t="s">
        <v>55</v>
      </c>
      <c r="C56" s="34">
        <f>+F62*0.6</f>
        <v>337328.772</v>
      </c>
      <c r="F56" s="34">
        <v>0</v>
      </c>
      <c r="H56" s="70"/>
      <c r="I56" s="69"/>
      <c r="J56" s="70"/>
      <c r="K56" s="70"/>
    </row>
    <row r="57" spans="1:12" x14ac:dyDescent="0.3">
      <c r="A57" s="32"/>
      <c r="B57" s="32"/>
      <c r="C57" s="7"/>
      <c r="F57" s="7"/>
      <c r="H57" s="70"/>
      <c r="I57" s="72"/>
      <c r="J57" s="70"/>
      <c r="K57" s="70"/>
      <c r="L57" s="47"/>
    </row>
    <row r="58" spans="1:12" ht="27" x14ac:dyDescent="0.3">
      <c r="A58" s="6"/>
      <c r="B58" s="37" t="s">
        <v>26</v>
      </c>
      <c r="C58" s="33">
        <f>SUM(C53:C56)</f>
        <v>1534196.5519999973</v>
      </c>
      <c r="F58" s="33">
        <f>SUM(F53:F56)</f>
        <v>954000</v>
      </c>
      <c r="H58" s="70"/>
      <c r="I58" s="71"/>
      <c r="J58" s="70"/>
      <c r="K58" s="70"/>
    </row>
    <row r="59" spans="1:12" x14ac:dyDescent="0.3">
      <c r="A59" s="7"/>
      <c r="B59" s="7"/>
      <c r="C59" s="33"/>
      <c r="F59" s="33"/>
      <c r="H59" s="70"/>
      <c r="I59" s="72"/>
      <c r="J59" s="70"/>
      <c r="K59" s="70"/>
    </row>
    <row r="60" spans="1:12" x14ac:dyDescent="0.3">
      <c r="A60" s="7"/>
      <c r="B60" s="32" t="s">
        <v>27</v>
      </c>
      <c r="C60" s="33">
        <v>-435421.54</v>
      </c>
      <c r="F60" s="33">
        <v>-391785.38</v>
      </c>
      <c r="H60" s="70"/>
      <c r="I60" s="72"/>
      <c r="J60" s="70"/>
      <c r="K60" s="70"/>
    </row>
    <row r="61" spans="1:12" x14ac:dyDescent="0.3">
      <c r="A61" s="32"/>
      <c r="B61" s="32"/>
      <c r="C61" s="33"/>
      <c r="F61" s="33"/>
      <c r="H61" s="70"/>
      <c r="I61" s="71"/>
      <c r="J61" s="69"/>
      <c r="K61" s="70"/>
    </row>
    <row r="62" spans="1:12" ht="15" thickBot="1" x14ac:dyDescent="0.35">
      <c r="A62" s="6"/>
      <c r="B62" s="32" t="s">
        <v>28</v>
      </c>
      <c r="C62" s="35">
        <f>SUM(C58:C60)</f>
        <v>1098775.0119999973</v>
      </c>
      <c r="F62" s="35">
        <f>SUM(F58:F61)</f>
        <v>562214.62</v>
      </c>
      <c r="I62" s="67"/>
      <c r="J62" s="47"/>
    </row>
    <row r="63" spans="1:12" ht="15" thickTop="1" x14ac:dyDescent="0.3"/>
    <row r="65" spans="1:12" x14ac:dyDescent="0.3">
      <c r="A65" s="112" t="s">
        <v>133</v>
      </c>
      <c r="B65" s="112"/>
      <c r="C65" s="112"/>
      <c r="D65" s="112"/>
      <c r="E65" s="112"/>
      <c r="F65" s="112"/>
      <c r="G65" s="112" t="s">
        <v>134</v>
      </c>
      <c r="H65" s="112"/>
      <c r="I65" s="112"/>
      <c r="J65" s="112"/>
      <c r="K65" s="112"/>
      <c r="L65" s="112"/>
    </row>
    <row r="66" spans="1:12" x14ac:dyDescent="0.3">
      <c r="A66" s="7"/>
      <c r="B66" s="7"/>
      <c r="C66" s="38" t="s">
        <v>51</v>
      </c>
      <c r="E66" s="38" t="s">
        <v>1</v>
      </c>
      <c r="F66" s="63"/>
      <c r="G66" s="7"/>
      <c r="H66" s="7"/>
      <c r="I66" s="99" t="s">
        <v>51</v>
      </c>
      <c r="J66" s="99"/>
      <c r="K66" s="99" t="s">
        <v>1</v>
      </c>
    </row>
    <row r="67" spans="1:12" x14ac:dyDescent="0.3">
      <c r="A67" s="7"/>
      <c r="B67" s="7"/>
      <c r="C67" s="65" t="s">
        <v>99</v>
      </c>
      <c r="E67" s="65" t="s">
        <v>99</v>
      </c>
      <c r="G67" s="7"/>
      <c r="H67" s="7"/>
      <c r="I67" s="65" t="s">
        <v>99</v>
      </c>
      <c r="J67" s="55"/>
      <c r="K67" s="65" t="s">
        <v>99</v>
      </c>
    </row>
    <row r="68" spans="1:12" x14ac:dyDescent="0.3">
      <c r="A68" s="44" t="s">
        <v>43</v>
      </c>
      <c r="B68" s="7"/>
      <c r="C68" s="8"/>
      <c r="E68" s="8"/>
      <c r="G68" s="44" t="s">
        <v>43</v>
      </c>
      <c r="H68" s="7"/>
      <c r="I68" s="8"/>
      <c r="K68" s="8"/>
    </row>
    <row r="69" spans="1:12" x14ac:dyDescent="0.3">
      <c r="A69" s="7"/>
      <c r="B69" s="45" t="s">
        <v>44</v>
      </c>
      <c r="C69" s="8">
        <v>2207948.35</v>
      </c>
      <c r="E69" s="8">
        <v>3000000</v>
      </c>
      <c r="G69" s="7"/>
      <c r="H69" s="45" t="s">
        <v>44</v>
      </c>
      <c r="I69" s="8">
        <v>2207948.35</v>
      </c>
      <c r="K69" s="8">
        <v>3000000</v>
      </c>
    </row>
    <row r="70" spans="1:12" x14ac:dyDescent="0.3">
      <c r="A70" s="7"/>
      <c r="B70" s="45" t="s">
        <v>45</v>
      </c>
      <c r="C70" s="10">
        <f>+C15</f>
        <v>5000000</v>
      </c>
      <c r="E70" s="10">
        <f>+F15</f>
        <v>2600000</v>
      </c>
      <c r="G70" s="7"/>
      <c r="H70" s="45" t="s">
        <v>45</v>
      </c>
      <c r="I70" s="10">
        <v>5000000</v>
      </c>
      <c r="K70" s="10">
        <v>2600000</v>
      </c>
    </row>
    <row r="71" spans="1:12" ht="15" thickBot="1" x14ac:dyDescent="0.35">
      <c r="A71" s="7"/>
      <c r="B71" s="45" t="s">
        <v>46</v>
      </c>
      <c r="C71" s="15">
        <f>-C69+C70</f>
        <v>2792051.65</v>
      </c>
      <c r="E71" s="15">
        <f>-E69+E70</f>
        <v>-400000</v>
      </c>
      <c r="G71" s="7"/>
      <c r="H71" s="45" t="s">
        <v>46</v>
      </c>
      <c r="I71" s="15">
        <f>-I69+I70</f>
        <v>2792051.65</v>
      </c>
      <c r="K71" s="15">
        <f>-K69+K70</f>
        <v>-400000</v>
      </c>
    </row>
    <row r="72" spans="1:12" ht="15" thickTop="1" x14ac:dyDescent="0.3">
      <c r="A72" s="45"/>
      <c r="B72" s="7"/>
      <c r="C72" s="8"/>
      <c r="E72" s="8"/>
      <c r="G72" s="45"/>
      <c r="H72" s="7"/>
      <c r="I72" s="8"/>
      <c r="K72" s="8"/>
    </row>
    <row r="73" spans="1:12" x14ac:dyDescent="0.3">
      <c r="A73" s="44" t="s">
        <v>47</v>
      </c>
      <c r="B73" s="7"/>
      <c r="C73" s="8"/>
      <c r="E73" s="8"/>
      <c r="G73" s="44" t="s">
        <v>47</v>
      </c>
      <c r="H73" s="7"/>
      <c r="I73" s="8"/>
      <c r="K73" s="8"/>
    </row>
    <row r="74" spans="1:12" ht="15.6" x14ac:dyDescent="0.4">
      <c r="A74" s="46" t="s">
        <v>0</v>
      </c>
      <c r="B74" s="7"/>
      <c r="C74" s="40"/>
      <c r="E74" s="40"/>
      <c r="G74" s="46" t="s">
        <v>0</v>
      </c>
      <c r="H74" s="7"/>
      <c r="I74" s="40"/>
      <c r="K74" s="40"/>
    </row>
    <row r="75" spans="1:12" x14ac:dyDescent="0.3">
      <c r="A75" s="41"/>
      <c r="B75" s="7"/>
      <c r="C75" s="8"/>
      <c r="E75" s="8"/>
      <c r="G75" s="41"/>
      <c r="H75" s="7"/>
      <c r="I75" s="8"/>
      <c r="K75" s="8"/>
    </row>
    <row r="76" spans="1:12" x14ac:dyDescent="0.3">
      <c r="A76" s="7"/>
      <c r="B76" s="41" t="s">
        <v>31</v>
      </c>
      <c r="C76" s="8"/>
      <c r="E76" s="8"/>
      <c r="G76" s="7"/>
      <c r="H76" s="102" t="s">
        <v>28</v>
      </c>
      <c r="I76" s="8">
        <v>1098775.01</v>
      </c>
      <c r="K76" s="8">
        <v>562214.62</v>
      </c>
    </row>
    <row r="77" spans="1:12" x14ac:dyDescent="0.3">
      <c r="A77" s="42" t="s">
        <v>32</v>
      </c>
      <c r="B77" s="7"/>
      <c r="C77" s="8">
        <f>+C43+D16-C16</f>
        <v>22193786.969999999</v>
      </c>
      <c r="E77" s="8">
        <v>6397105.4400000004</v>
      </c>
      <c r="G77" s="42"/>
      <c r="H77" s="41" t="s">
        <v>148</v>
      </c>
      <c r="I77" s="8">
        <v>482087.61</v>
      </c>
      <c r="K77" s="8">
        <v>280000</v>
      </c>
    </row>
    <row r="78" spans="1:12" x14ac:dyDescent="0.3">
      <c r="A78" s="42"/>
      <c r="B78" s="7" t="s">
        <v>34</v>
      </c>
      <c r="C78" s="13">
        <f>SUM(C77:C77)</f>
        <v>22193786.969999999</v>
      </c>
      <c r="E78" s="13">
        <f>SUM(E77:E77)</f>
        <v>6397105.4400000004</v>
      </c>
      <c r="G78" s="42"/>
      <c r="H78" s="103" t="s">
        <v>124</v>
      </c>
      <c r="I78" s="8"/>
      <c r="J78" s="93"/>
      <c r="K78" s="20"/>
    </row>
    <row r="79" spans="1:12" x14ac:dyDescent="0.3">
      <c r="A79" s="7"/>
      <c r="B79" s="7"/>
      <c r="C79" s="8"/>
      <c r="E79" s="8"/>
      <c r="G79" s="7"/>
      <c r="H79" s="7" t="s">
        <v>127</v>
      </c>
      <c r="I79" s="20">
        <v>30000</v>
      </c>
      <c r="K79" s="8">
        <v>-102894.55915</v>
      </c>
    </row>
    <row r="80" spans="1:12" x14ac:dyDescent="0.3">
      <c r="A80" s="43"/>
      <c r="B80" s="41" t="s">
        <v>35</v>
      </c>
      <c r="C80" s="8"/>
      <c r="E80" s="8"/>
      <c r="G80" s="43"/>
      <c r="H80" s="7" t="s">
        <v>128</v>
      </c>
      <c r="I80" s="8">
        <v>-71776.969999999972</v>
      </c>
      <c r="K80" s="8">
        <v>286405.79929998133</v>
      </c>
    </row>
    <row r="81" spans="1:11" x14ac:dyDescent="0.3">
      <c r="A81" s="42" t="s">
        <v>36</v>
      </c>
      <c r="B81" s="7"/>
      <c r="C81" s="8">
        <v>15542314.720000003</v>
      </c>
      <c r="E81" s="8">
        <v>5220338.3688604301</v>
      </c>
      <c r="G81" s="42"/>
      <c r="H81" s="104" t="s">
        <v>129</v>
      </c>
      <c r="I81" s="8">
        <v>2002110.1600000001</v>
      </c>
      <c r="K81" s="8">
        <v>-223788.75886042599</v>
      </c>
    </row>
    <row r="82" spans="1:11" x14ac:dyDescent="0.3">
      <c r="A82" s="42" t="s">
        <v>104</v>
      </c>
      <c r="B82" s="7"/>
      <c r="C82" s="8">
        <v>356000</v>
      </c>
      <c r="E82" s="8">
        <v>230000</v>
      </c>
      <c r="G82" s="42"/>
      <c r="H82" s="7" t="s">
        <v>130</v>
      </c>
      <c r="I82" s="8">
        <v>-182760.37000000011</v>
      </c>
      <c r="K82" s="8">
        <v>-696549.60999999987</v>
      </c>
    </row>
    <row r="83" spans="1:11" x14ac:dyDescent="0.3">
      <c r="A83" s="42" t="s">
        <v>37</v>
      </c>
      <c r="B83" s="7"/>
      <c r="C83" s="8">
        <v>1405943.33</v>
      </c>
      <c r="E83" s="8">
        <v>320000</v>
      </c>
      <c r="G83" s="42"/>
      <c r="H83" s="7" t="s">
        <v>131</v>
      </c>
      <c r="I83" s="8">
        <v>133032.59</v>
      </c>
      <c r="K83" s="8">
        <v>76717.954024513863</v>
      </c>
    </row>
    <row r="84" spans="1:11" x14ac:dyDescent="0.3">
      <c r="A84" s="42" t="s">
        <v>38</v>
      </c>
      <c r="B84" s="7"/>
      <c r="C84" s="8">
        <f>422809.37-C60</f>
        <v>858230.90999999992</v>
      </c>
      <c r="E84" s="8">
        <v>84661.626675504842</v>
      </c>
      <c r="G84" s="42"/>
      <c r="H84" s="7" t="s">
        <v>138</v>
      </c>
      <c r="I84" s="8">
        <v>-337328.77</v>
      </c>
      <c r="K84" s="8">
        <v>0</v>
      </c>
    </row>
    <row r="85" spans="1:11" x14ac:dyDescent="0.3">
      <c r="A85" s="42" t="s">
        <v>39</v>
      </c>
      <c r="B85" s="7"/>
      <c r="C85" s="8">
        <v>482087.61</v>
      </c>
      <c r="E85" s="8">
        <v>280000</v>
      </c>
      <c r="G85" s="42"/>
      <c r="H85" s="7" t="s">
        <v>132</v>
      </c>
      <c r="I85" s="8">
        <v>0</v>
      </c>
      <c r="K85" s="8">
        <v>-102105.44085</v>
      </c>
    </row>
    <row r="86" spans="1:11" x14ac:dyDescent="0.3">
      <c r="A86" s="42" t="s">
        <v>40</v>
      </c>
      <c r="B86" s="7"/>
      <c r="C86" s="8">
        <v>877158.75</v>
      </c>
      <c r="E86" s="8">
        <v>462105.44085000001</v>
      </c>
      <c r="G86" s="42"/>
      <c r="H86" s="7" t="s">
        <v>140</v>
      </c>
      <c r="I86" s="8">
        <v>-482087.61</v>
      </c>
      <c r="K86" s="8">
        <v>-280000</v>
      </c>
    </row>
    <row r="87" spans="1:11" x14ac:dyDescent="0.3">
      <c r="A87" s="42"/>
      <c r="B87" s="7" t="s">
        <v>42</v>
      </c>
      <c r="C87" s="13">
        <f>-SUM(C81:C86)</f>
        <v>-19521735.320000004</v>
      </c>
      <c r="E87" s="13">
        <f>-SUM(E81:E86)</f>
        <v>-6597105.4363859352</v>
      </c>
      <c r="G87" s="42"/>
      <c r="H87" s="9" t="s">
        <v>48</v>
      </c>
      <c r="I87" s="31"/>
      <c r="K87" s="31"/>
    </row>
    <row r="88" spans="1:11" x14ac:dyDescent="0.3">
      <c r="A88" s="9"/>
      <c r="B88" s="9" t="s">
        <v>48</v>
      </c>
      <c r="C88" s="31"/>
      <c r="E88" s="31"/>
      <c r="G88" s="9"/>
      <c r="H88" s="9" t="s">
        <v>49</v>
      </c>
      <c r="I88" s="48">
        <f>SUM(I76:I86)</f>
        <v>2672051.6500000004</v>
      </c>
      <c r="K88" s="48">
        <f>SUM(K76:K86)</f>
        <v>-199999.99553593068</v>
      </c>
    </row>
    <row r="89" spans="1:11" x14ac:dyDescent="0.3">
      <c r="A89" s="9"/>
      <c r="B89" s="9" t="s">
        <v>49</v>
      </c>
      <c r="C89" s="48">
        <f>+C78+C87</f>
        <v>2672051.6499999948</v>
      </c>
      <c r="E89" s="48">
        <f>+E78+E87</f>
        <v>-199999.99638593476</v>
      </c>
      <c r="G89" s="9"/>
    </row>
    <row r="90" spans="1:11" x14ac:dyDescent="0.3">
      <c r="H90" s="7"/>
      <c r="I90" s="8"/>
    </row>
    <row r="91" spans="1:11" ht="15.6" x14ac:dyDescent="0.4">
      <c r="A91" s="46" t="s">
        <v>6</v>
      </c>
      <c r="B91" s="7"/>
      <c r="C91" s="40"/>
      <c r="G91" s="46" t="s">
        <v>6</v>
      </c>
      <c r="H91" s="7"/>
      <c r="I91" s="8"/>
    </row>
    <row r="92" spans="1:11" x14ac:dyDescent="0.3">
      <c r="A92" s="41"/>
      <c r="B92" s="7"/>
      <c r="C92" s="8"/>
      <c r="G92" s="43"/>
      <c r="H92" s="41" t="s">
        <v>105</v>
      </c>
      <c r="I92" s="8"/>
    </row>
    <row r="93" spans="1:11" x14ac:dyDescent="0.3">
      <c r="A93" s="43"/>
      <c r="B93" s="41" t="s">
        <v>105</v>
      </c>
      <c r="C93" s="8"/>
      <c r="G93" s="42" t="s">
        <v>106</v>
      </c>
      <c r="H93" s="7"/>
      <c r="I93" s="8">
        <v>120000</v>
      </c>
      <c r="K93" s="8"/>
    </row>
    <row r="94" spans="1:11" x14ac:dyDescent="0.3">
      <c r="A94" s="42" t="s">
        <v>106</v>
      </c>
      <c r="B94" s="7"/>
      <c r="C94" s="8">
        <v>120000</v>
      </c>
      <c r="E94" s="8"/>
      <c r="G94" s="42"/>
      <c r="H94" s="7" t="s">
        <v>109</v>
      </c>
      <c r="I94" s="13">
        <f>SUM(I93:I93)</f>
        <v>120000</v>
      </c>
      <c r="K94" s="13">
        <f>-SUM(K93:K93)</f>
        <v>0</v>
      </c>
    </row>
    <row r="95" spans="1:11" x14ac:dyDescent="0.3">
      <c r="A95" s="42"/>
      <c r="B95" s="7" t="s">
        <v>109</v>
      </c>
      <c r="C95" s="13">
        <f>SUM(C94:C94)</f>
        <v>120000</v>
      </c>
      <c r="E95" s="13">
        <f>-SUM(E94:E94)</f>
        <v>0</v>
      </c>
      <c r="G95" s="9"/>
      <c r="H95" s="9" t="s">
        <v>48</v>
      </c>
      <c r="I95" s="31"/>
      <c r="K95" s="31"/>
    </row>
    <row r="96" spans="1:11" x14ac:dyDescent="0.3">
      <c r="A96" s="9"/>
      <c r="B96" s="9" t="s">
        <v>48</v>
      </c>
      <c r="C96" s="31"/>
      <c r="E96" s="31"/>
      <c r="G96" s="9"/>
      <c r="H96" s="9" t="s">
        <v>53</v>
      </c>
      <c r="I96" s="48">
        <f>SUM(I94)</f>
        <v>120000</v>
      </c>
      <c r="K96" s="48">
        <f>SUM(K94)</f>
        <v>0</v>
      </c>
    </row>
    <row r="97" spans="1:11" x14ac:dyDescent="0.3">
      <c r="A97" s="9"/>
      <c r="B97" s="9" t="s">
        <v>53</v>
      </c>
      <c r="C97" s="48">
        <f>SUM(C95)</f>
        <v>120000</v>
      </c>
      <c r="E97" s="48">
        <f>SUM(E95)</f>
        <v>0</v>
      </c>
    </row>
    <row r="98" spans="1:11" x14ac:dyDescent="0.3">
      <c r="G98" s="46" t="s">
        <v>107</v>
      </c>
      <c r="H98" s="7"/>
      <c r="I98" s="8"/>
    </row>
    <row r="99" spans="1:11" ht="15.6" x14ac:dyDescent="0.4">
      <c r="A99" s="46" t="s">
        <v>107</v>
      </c>
      <c r="B99" s="7"/>
      <c r="C99" s="40"/>
      <c r="G99" s="41"/>
      <c r="H99" s="41" t="s">
        <v>35</v>
      </c>
      <c r="I99" s="8"/>
    </row>
    <row r="100" spans="1:11" x14ac:dyDescent="0.3">
      <c r="A100" s="41"/>
      <c r="B100" s="7"/>
      <c r="C100" s="8"/>
      <c r="G100" s="43"/>
      <c r="H100" s="7"/>
      <c r="I100" s="8">
        <v>0</v>
      </c>
      <c r="K100" s="8">
        <v>200000</v>
      </c>
    </row>
    <row r="101" spans="1:11" x14ac:dyDescent="0.3">
      <c r="A101" s="43"/>
      <c r="B101" s="41" t="s">
        <v>35</v>
      </c>
      <c r="C101" s="8"/>
      <c r="G101" s="42" t="s">
        <v>108</v>
      </c>
      <c r="H101" s="7" t="s">
        <v>42</v>
      </c>
      <c r="I101" s="13">
        <f>SUM(I100:I100)</f>
        <v>0</v>
      </c>
      <c r="K101" s="13">
        <f>-SUM(K100:K100)</f>
        <v>-200000</v>
      </c>
    </row>
    <row r="102" spans="1:11" x14ac:dyDescent="0.3">
      <c r="A102" s="42" t="s">
        <v>108</v>
      </c>
      <c r="B102" s="7"/>
      <c r="C102" s="8">
        <v>0</v>
      </c>
      <c r="E102" s="8">
        <v>200000</v>
      </c>
      <c r="G102" s="42"/>
      <c r="H102" s="9" t="s">
        <v>48</v>
      </c>
      <c r="I102" s="31"/>
      <c r="K102" s="31"/>
    </row>
    <row r="103" spans="1:11" x14ac:dyDescent="0.3">
      <c r="A103" s="42"/>
      <c r="B103" s="7" t="s">
        <v>42</v>
      </c>
      <c r="C103" s="13">
        <f>SUM(C102:C102)</f>
        <v>0</v>
      </c>
      <c r="E103" s="13">
        <f>-SUM(E102:E102)</f>
        <v>-200000</v>
      </c>
      <c r="G103" s="9"/>
      <c r="H103" s="9" t="s">
        <v>110</v>
      </c>
      <c r="I103" s="48">
        <f>SUM(I101)</f>
        <v>0</v>
      </c>
      <c r="K103" s="48">
        <f>SUM(K101)</f>
        <v>-200000</v>
      </c>
    </row>
    <row r="104" spans="1:11" x14ac:dyDescent="0.3">
      <c r="A104" s="9"/>
      <c r="B104" s="9" t="s">
        <v>48</v>
      </c>
      <c r="C104" s="31"/>
      <c r="E104" s="31"/>
      <c r="G104" s="9"/>
      <c r="H104" s="9"/>
      <c r="I104" s="68"/>
      <c r="K104" s="68"/>
    </row>
    <row r="105" spans="1:11" x14ac:dyDescent="0.3">
      <c r="A105" s="9"/>
      <c r="B105" s="9" t="s">
        <v>110</v>
      </c>
      <c r="C105" s="48">
        <f>SUM(C103)</f>
        <v>0</v>
      </c>
      <c r="E105" s="48">
        <f>SUM(E103)</f>
        <v>-200000</v>
      </c>
      <c r="G105" s="9"/>
      <c r="H105" s="32" t="s">
        <v>46</v>
      </c>
      <c r="I105" s="50">
        <f>SUM(I88,I96)</f>
        <v>2792051.6500000004</v>
      </c>
      <c r="K105" s="50">
        <f>+K88+K96+K103</f>
        <v>-399999.99553593068</v>
      </c>
    </row>
    <row r="106" spans="1:11" x14ac:dyDescent="0.3">
      <c r="A106" s="9"/>
      <c r="B106" s="9"/>
      <c r="C106" s="68"/>
      <c r="E106" s="68"/>
    </row>
    <row r="107" spans="1:11" x14ac:dyDescent="0.3">
      <c r="B107" s="32" t="s">
        <v>46</v>
      </c>
      <c r="C107" s="50">
        <f>+C89+C97+C105</f>
        <v>2792051.6499999948</v>
      </c>
      <c r="E107" s="50">
        <f>+E89+E97+E105</f>
        <v>-399999.99638593476</v>
      </c>
    </row>
  </sheetData>
  <mergeCells count="6">
    <mergeCell ref="A65:F65"/>
    <mergeCell ref="A40:F40"/>
    <mergeCell ref="A11:G11"/>
    <mergeCell ref="C12:D12"/>
    <mergeCell ref="F12:G12"/>
    <mergeCell ref="G65:L6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1"/>
  <sheetViews>
    <sheetView tabSelected="1" topLeftCell="D76" workbookViewId="0">
      <selection activeCell="J99" sqref="J99"/>
    </sheetView>
  </sheetViews>
  <sheetFormatPr baseColWidth="10" defaultColWidth="11.44140625" defaultRowHeight="13.2" x14ac:dyDescent="0.25"/>
  <cols>
    <col min="1" max="1" width="11.44140625" style="7"/>
    <col min="2" max="2" width="42.6640625" style="7" customWidth="1"/>
    <col min="3" max="3" width="13.44140625" style="7" bestFit="1" customWidth="1"/>
    <col min="4" max="4" width="12" style="7" bestFit="1" customWidth="1"/>
    <col min="5" max="5" width="12" style="77" bestFit="1" customWidth="1"/>
    <col min="6" max="6" width="14.5546875" style="7" bestFit="1" customWidth="1"/>
    <col min="7" max="7" width="15" style="7" customWidth="1"/>
    <col min="8" max="8" width="21.5546875" style="7" customWidth="1"/>
    <col min="9" max="9" width="39.44140625" style="7" customWidth="1"/>
    <col min="10" max="10" width="14" style="7" customWidth="1"/>
    <col min="11" max="11" width="12.109375" style="7" bestFit="1" customWidth="1"/>
    <col min="12" max="12" width="11.44140625" style="77"/>
    <col min="13" max="13" width="12.44140625" style="7" bestFit="1" customWidth="1"/>
    <col min="14" max="16384" width="11.44140625" style="7"/>
  </cols>
  <sheetData>
    <row r="1" spans="1:12" x14ac:dyDescent="0.25">
      <c r="A1" s="7" t="s">
        <v>117</v>
      </c>
      <c r="C1" s="77" t="s">
        <v>51</v>
      </c>
      <c r="D1" s="77" t="s">
        <v>116</v>
      </c>
      <c r="F1" s="77"/>
      <c r="L1" s="7"/>
    </row>
    <row r="2" spans="1:12" ht="12.75" x14ac:dyDescent="0.2">
      <c r="B2" s="7" t="s">
        <v>113</v>
      </c>
      <c r="C2" s="77">
        <v>2228000</v>
      </c>
      <c r="D2" s="77">
        <v>2228000</v>
      </c>
      <c r="F2" s="77"/>
      <c r="G2" s="77"/>
      <c r="L2" s="7"/>
    </row>
    <row r="3" spans="1:12" ht="12.75" x14ac:dyDescent="0.2">
      <c r="B3" s="7" t="s">
        <v>114</v>
      </c>
      <c r="C3" s="80">
        <v>0.6</v>
      </c>
      <c r="D3" s="80">
        <v>0.4</v>
      </c>
      <c r="F3" s="77"/>
      <c r="G3" s="97"/>
      <c r="L3" s="7"/>
    </row>
    <row r="4" spans="1:12" ht="12.75" x14ac:dyDescent="0.2">
      <c r="B4" s="7" t="s">
        <v>115</v>
      </c>
      <c r="C4" s="77">
        <f>+C2*C3</f>
        <v>1336800</v>
      </c>
      <c r="D4" s="77">
        <f>+D2*D3</f>
        <v>891200</v>
      </c>
      <c r="F4" s="77"/>
      <c r="L4" s="7"/>
    </row>
    <row r="5" spans="1:12" x14ac:dyDescent="0.25">
      <c r="B5" s="7" t="s">
        <v>150</v>
      </c>
      <c r="C5" s="105">
        <v>1186800</v>
      </c>
      <c r="D5" s="77"/>
      <c r="F5" s="77"/>
      <c r="L5" s="7"/>
    </row>
    <row r="6" spans="1:12" x14ac:dyDescent="0.25">
      <c r="B6" s="7" t="s">
        <v>151</v>
      </c>
      <c r="C6" s="77">
        <f>+C4-C5</f>
        <v>150000</v>
      </c>
      <c r="D6" s="77" t="s">
        <v>152</v>
      </c>
      <c r="F6" s="77"/>
      <c r="L6" s="7"/>
    </row>
    <row r="7" spans="1:12" ht="12.75" x14ac:dyDescent="0.2">
      <c r="C7" s="77"/>
      <c r="D7" s="77"/>
      <c r="F7" s="77"/>
      <c r="L7" s="7"/>
    </row>
    <row r="8" spans="1:12" x14ac:dyDescent="0.25">
      <c r="A8" s="7" t="s">
        <v>118</v>
      </c>
      <c r="C8" s="77"/>
      <c r="D8" s="77"/>
      <c r="F8" s="77"/>
      <c r="L8" s="7"/>
    </row>
    <row r="9" spans="1:12" x14ac:dyDescent="0.25">
      <c r="B9" s="7" t="s">
        <v>119</v>
      </c>
      <c r="C9" s="77">
        <v>562214.62</v>
      </c>
      <c r="D9" s="77">
        <v>562214.62</v>
      </c>
      <c r="F9" s="77"/>
      <c r="L9" s="7"/>
    </row>
    <row r="10" spans="1:12" ht="12.75" x14ac:dyDescent="0.2">
      <c r="B10" s="7" t="s">
        <v>114</v>
      </c>
      <c r="C10" s="80">
        <v>0.6</v>
      </c>
      <c r="D10" s="80">
        <v>0.4</v>
      </c>
      <c r="F10" s="77"/>
      <c r="L10" s="7"/>
    </row>
    <row r="11" spans="1:12" ht="12.75" x14ac:dyDescent="0.2">
      <c r="B11" s="7" t="s">
        <v>120</v>
      </c>
      <c r="C11" s="77">
        <f>+C9*C10</f>
        <v>337328.772</v>
      </c>
      <c r="D11" s="77">
        <f>+D9*D10</f>
        <v>224885.848</v>
      </c>
      <c r="F11" s="77"/>
      <c r="L11" s="7"/>
    </row>
    <row r="12" spans="1:12" x14ac:dyDescent="0.25">
      <c r="B12" s="7" t="s">
        <v>153</v>
      </c>
      <c r="C12" s="105">
        <v>150000</v>
      </c>
      <c r="D12" s="77"/>
      <c r="F12" s="77"/>
      <c r="L12" s="7"/>
    </row>
    <row r="13" spans="1:12" x14ac:dyDescent="0.25">
      <c r="B13" s="7" t="s">
        <v>119</v>
      </c>
      <c r="C13" s="77">
        <f>SUM(C11:C12)</f>
        <v>487328.772</v>
      </c>
      <c r="D13" s="77"/>
      <c r="F13" s="77"/>
      <c r="L13" s="7"/>
    </row>
    <row r="15" spans="1:12" ht="12.75" x14ac:dyDescent="0.2">
      <c r="A15" s="3" t="s">
        <v>2</v>
      </c>
      <c r="B15" s="4"/>
      <c r="C15" s="65" t="s">
        <v>51</v>
      </c>
      <c r="D15" s="84" t="s">
        <v>1</v>
      </c>
      <c r="E15" s="76" t="s">
        <v>111</v>
      </c>
      <c r="F15" s="7" t="s">
        <v>121</v>
      </c>
      <c r="L15" s="7"/>
    </row>
    <row r="16" spans="1:12" ht="12.75" x14ac:dyDescent="0.2">
      <c r="A16" s="6" t="s">
        <v>7</v>
      </c>
      <c r="C16" s="8"/>
      <c r="D16" s="8"/>
      <c r="L16" s="7"/>
    </row>
    <row r="17" spans="1:12" ht="12.75" x14ac:dyDescent="0.2">
      <c r="B17" s="9" t="s">
        <v>58</v>
      </c>
      <c r="C17" s="8">
        <v>5000000</v>
      </c>
      <c r="D17" s="8">
        <v>2600000</v>
      </c>
      <c r="F17" s="8">
        <f>SUM(C17:E17)</f>
        <v>7600000</v>
      </c>
      <c r="L17" s="7"/>
    </row>
    <row r="18" spans="1:12" ht="12.75" x14ac:dyDescent="0.2">
      <c r="B18" s="9" t="s">
        <v>59</v>
      </c>
      <c r="C18" s="8">
        <v>45000</v>
      </c>
      <c r="D18" s="8">
        <v>205000</v>
      </c>
      <c r="E18" s="79">
        <v>-40000</v>
      </c>
      <c r="F18" s="8">
        <f>SUM(C18:E18)</f>
        <v>210000</v>
      </c>
      <c r="G18" s="78"/>
      <c r="L18" s="7"/>
    </row>
    <row r="19" spans="1:12" x14ac:dyDescent="0.25">
      <c r="B19" s="9" t="s">
        <v>60</v>
      </c>
      <c r="C19" s="8">
        <v>950887.7</v>
      </c>
      <c r="D19" s="8">
        <v>550000</v>
      </c>
      <c r="F19" s="8">
        <f t="shared" ref="F19:F20" si="0">SUM(C19:E19)</f>
        <v>1500887.7</v>
      </c>
      <c r="G19" s="78"/>
      <c r="L19" s="7"/>
    </row>
    <row r="20" spans="1:12" ht="12.75" x14ac:dyDescent="0.2">
      <c r="B20" s="9" t="s">
        <v>61</v>
      </c>
      <c r="C20" s="10">
        <v>923558.61</v>
      </c>
      <c r="D20" s="10">
        <v>423000</v>
      </c>
      <c r="F20" s="10">
        <f t="shared" si="0"/>
        <v>1346558.6099999999</v>
      </c>
      <c r="G20" s="78"/>
      <c r="L20" s="7"/>
    </row>
    <row r="21" spans="1:12" ht="12.75" x14ac:dyDescent="0.2">
      <c r="A21" s="11"/>
      <c r="B21" s="12" t="s">
        <v>8</v>
      </c>
      <c r="C21" s="13">
        <f>SUM(C17:C20)</f>
        <v>6919446.3100000005</v>
      </c>
      <c r="D21" s="13">
        <f>SUM(D17:D20)</f>
        <v>3778000</v>
      </c>
      <c r="F21" s="13">
        <f>SUM(F17:F20)</f>
        <v>10657446.309999999</v>
      </c>
      <c r="G21" s="78"/>
      <c r="L21" s="7"/>
    </row>
    <row r="22" spans="1:12" ht="12.75" x14ac:dyDescent="0.2">
      <c r="A22" s="6" t="s">
        <v>9</v>
      </c>
      <c r="C22" s="8"/>
      <c r="D22" s="8"/>
      <c r="I22" s="78"/>
      <c r="L22" s="7"/>
    </row>
    <row r="23" spans="1:12" ht="12.75" x14ac:dyDescent="0.2">
      <c r="B23" s="9" t="s">
        <v>50</v>
      </c>
      <c r="C23" s="56">
        <v>1336800</v>
      </c>
      <c r="D23" s="10"/>
      <c r="E23" s="79">
        <v>-1336800</v>
      </c>
      <c r="F23" s="10">
        <f>SUM(C23:E23)</f>
        <v>0</v>
      </c>
      <c r="I23" s="78"/>
      <c r="L23" s="7"/>
    </row>
    <row r="24" spans="1:12" ht="12.75" x14ac:dyDescent="0.2">
      <c r="A24" s="9"/>
      <c r="B24" s="12" t="s">
        <v>10</v>
      </c>
      <c r="C24" s="13">
        <f>SUM(C23)</f>
        <v>1336800</v>
      </c>
      <c r="D24" s="13">
        <f>SUM(D23)</f>
        <v>0</v>
      </c>
      <c r="F24" s="8">
        <f>SUM(F23)</f>
        <v>0</v>
      </c>
      <c r="L24" s="7"/>
    </row>
    <row r="25" spans="1:12" ht="13.5" thickBot="1" x14ac:dyDescent="0.25">
      <c r="A25" s="21"/>
      <c r="B25" s="29" t="s">
        <v>11</v>
      </c>
      <c r="C25" s="15">
        <f>SUM(C24,C21)</f>
        <v>8256246.3100000005</v>
      </c>
      <c r="D25" s="15">
        <f>SUM(D24,D21)</f>
        <v>3778000</v>
      </c>
      <c r="F25" s="15">
        <f>SUM(F24,F21)</f>
        <v>10657446.309999999</v>
      </c>
      <c r="L25" s="7"/>
    </row>
    <row r="26" spans="1:12" ht="13.5" thickTop="1" x14ac:dyDescent="0.2">
      <c r="A26" s="19"/>
      <c r="B26" s="4"/>
      <c r="C26" s="74"/>
      <c r="D26" s="74"/>
      <c r="I26" s="77"/>
      <c r="L26" s="7"/>
    </row>
    <row r="27" spans="1:12" ht="12.75" x14ac:dyDescent="0.2">
      <c r="A27" s="17" t="s">
        <v>3</v>
      </c>
      <c r="B27" s="4"/>
      <c r="C27" s="5"/>
      <c r="D27" s="5"/>
      <c r="L27" s="7"/>
    </row>
    <row r="28" spans="1:12" ht="12.75" x14ac:dyDescent="0.2">
      <c r="A28" s="18" t="s">
        <v>12</v>
      </c>
      <c r="C28" s="8"/>
      <c r="D28" s="8"/>
      <c r="L28" s="7"/>
    </row>
    <row r="29" spans="1:12" ht="12.75" x14ac:dyDescent="0.2">
      <c r="A29" s="19"/>
      <c r="B29" s="9" t="s">
        <v>62</v>
      </c>
      <c r="C29" s="20">
        <f>3050000+849471.23</f>
        <v>3899471.23</v>
      </c>
      <c r="D29" s="20">
        <v>1030000</v>
      </c>
      <c r="E29" s="79">
        <v>-40000</v>
      </c>
      <c r="F29" s="8">
        <f>SUM(C29:E29)</f>
        <v>4889471.2300000004</v>
      </c>
      <c r="G29" s="78"/>
      <c r="I29" s="8"/>
      <c r="L29" s="7"/>
    </row>
    <row r="30" spans="1:12" ht="12.75" x14ac:dyDescent="0.2">
      <c r="A30" s="19"/>
      <c r="B30" s="9" t="s">
        <v>63</v>
      </c>
      <c r="C30" s="20">
        <v>273900.18</v>
      </c>
      <c r="D30" s="20">
        <v>520000</v>
      </c>
      <c r="F30" s="8">
        <f t="shared" ref="F30:F31" si="1">SUM(C30:E30)</f>
        <v>793900.17999999993</v>
      </c>
      <c r="G30" s="78"/>
      <c r="L30" s="7"/>
    </row>
    <row r="31" spans="1:12" ht="12.75" x14ac:dyDescent="0.2">
      <c r="A31" s="19"/>
      <c r="B31" s="21" t="s">
        <v>64</v>
      </c>
      <c r="C31" s="10">
        <v>0</v>
      </c>
      <c r="D31" s="10">
        <v>0</v>
      </c>
      <c r="F31" s="10">
        <f t="shared" si="1"/>
        <v>0</v>
      </c>
      <c r="G31" s="78"/>
      <c r="I31" s="78"/>
      <c r="L31" s="7"/>
    </row>
    <row r="32" spans="1:12" ht="12.75" x14ac:dyDescent="0.2">
      <c r="A32" s="22"/>
      <c r="B32" s="12" t="s">
        <v>13</v>
      </c>
      <c r="C32" s="13">
        <f>SUM(C29:C31)</f>
        <v>4173371.41</v>
      </c>
      <c r="D32" s="13">
        <f>SUM(D29:D31)</f>
        <v>1550000</v>
      </c>
      <c r="F32" s="13">
        <f>SUM(F29:F31)</f>
        <v>5683371.4100000001</v>
      </c>
      <c r="G32" s="78"/>
      <c r="L32" s="7"/>
    </row>
    <row r="33" spans="1:12" ht="12.75" x14ac:dyDescent="0.2">
      <c r="A33" s="18" t="s">
        <v>14</v>
      </c>
      <c r="C33" s="20"/>
      <c r="D33" s="20"/>
      <c r="L33" s="7"/>
    </row>
    <row r="34" spans="1:12" ht="12.75" x14ac:dyDescent="0.2">
      <c r="A34" s="19"/>
      <c r="B34" s="9" t="s">
        <v>15</v>
      </c>
      <c r="C34" s="23">
        <v>0</v>
      </c>
      <c r="D34" s="23">
        <v>0</v>
      </c>
      <c r="L34" s="7"/>
    </row>
    <row r="35" spans="1:12" ht="12.75" x14ac:dyDescent="0.2">
      <c r="A35" s="24"/>
      <c r="B35" s="12" t="s">
        <v>16</v>
      </c>
      <c r="C35" s="13">
        <f>SUM(C34)</f>
        <v>0</v>
      </c>
      <c r="D35" s="13">
        <f>SUM(D34)</f>
        <v>0</v>
      </c>
      <c r="L35" s="7"/>
    </row>
    <row r="36" spans="1:12" ht="12.75" x14ac:dyDescent="0.2">
      <c r="A36" s="24"/>
      <c r="B36" s="14" t="s">
        <v>17</v>
      </c>
      <c r="C36" s="13">
        <f>SUM(C35,C32)</f>
        <v>4173371.41</v>
      </c>
      <c r="D36" s="13">
        <f>SUM(D35,D32)</f>
        <v>1550000</v>
      </c>
      <c r="F36" s="13">
        <f>SUM(F35,F32)</f>
        <v>5683371.4100000001</v>
      </c>
      <c r="L36" s="7"/>
    </row>
    <row r="37" spans="1:12" ht="12.75" x14ac:dyDescent="0.2">
      <c r="A37" s="24"/>
      <c r="B37" s="14"/>
      <c r="C37" s="73"/>
      <c r="D37" s="73"/>
      <c r="L37" s="7"/>
    </row>
    <row r="38" spans="1:12" ht="12.75" x14ac:dyDescent="0.2">
      <c r="A38" s="24"/>
      <c r="B38" s="14" t="s">
        <v>112</v>
      </c>
      <c r="C38" s="20"/>
      <c r="D38" s="20"/>
      <c r="E38" s="79">
        <v>891200</v>
      </c>
      <c r="F38" s="77">
        <f>SUM(E38)</f>
        <v>891200</v>
      </c>
      <c r="G38" s="77"/>
      <c r="L38" s="7"/>
    </row>
    <row r="39" spans="1:12" x14ac:dyDescent="0.25">
      <c r="A39" s="24"/>
      <c r="B39" s="14"/>
      <c r="C39" s="20"/>
      <c r="D39" s="20"/>
      <c r="L39" s="7"/>
    </row>
    <row r="40" spans="1:12" x14ac:dyDescent="0.25">
      <c r="A40" s="17" t="s">
        <v>4</v>
      </c>
      <c r="B40" s="8"/>
      <c r="C40" s="20"/>
      <c r="D40" s="20"/>
      <c r="F40" s="82"/>
      <c r="L40" s="7"/>
    </row>
    <row r="41" spans="1:12" x14ac:dyDescent="0.25">
      <c r="A41" s="25"/>
      <c r="B41" s="26" t="s">
        <v>18</v>
      </c>
      <c r="C41" s="20">
        <v>3932874.9000000004</v>
      </c>
      <c r="D41" s="20">
        <f>+D25-D36</f>
        <v>2228000</v>
      </c>
      <c r="E41" s="79">
        <v>-2228000</v>
      </c>
      <c r="F41" s="8">
        <f>SUM(C41:E41)</f>
        <v>3932874.9000000004</v>
      </c>
      <c r="L41" s="7"/>
    </row>
    <row r="42" spans="1:12" x14ac:dyDescent="0.25">
      <c r="A42" s="25"/>
      <c r="B42" s="26" t="s">
        <v>154</v>
      </c>
      <c r="C42" s="56">
        <v>150000</v>
      </c>
      <c r="D42" s="20"/>
      <c r="F42" s="8"/>
      <c r="L42" s="7"/>
    </row>
    <row r="43" spans="1:12" x14ac:dyDescent="0.25">
      <c r="A43" s="25"/>
      <c r="B43" s="26" t="s">
        <v>155</v>
      </c>
      <c r="C43" s="20">
        <f>SUM(C41:C42)</f>
        <v>4082874.9000000004</v>
      </c>
      <c r="D43" s="20"/>
      <c r="F43" s="8"/>
      <c r="L43" s="7"/>
    </row>
    <row r="44" spans="1:12" ht="13.8" thickBot="1" x14ac:dyDescent="0.3">
      <c r="A44" s="25"/>
      <c r="B44" s="12" t="s">
        <v>19</v>
      </c>
      <c r="C44" s="15">
        <f>+C36+C43</f>
        <v>8256246.3100000005</v>
      </c>
      <c r="D44" s="15">
        <f>+D32+D41</f>
        <v>3778000</v>
      </c>
      <c r="F44" s="15">
        <f>+F36++F38+F41</f>
        <v>10507446.310000001</v>
      </c>
      <c r="L44" s="7"/>
    </row>
    <row r="45" spans="1:12" ht="13.8" thickTop="1" x14ac:dyDescent="0.25">
      <c r="L45" s="7"/>
    </row>
    <row r="50" spans="1:12" x14ac:dyDescent="0.25">
      <c r="A50" s="32"/>
      <c r="C50" s="75" t="s">
        <v>51</v>
      </c>
      <c r="D50" s="75" t="s">
        <v>1</v>
      </c>
      <c r="E50" s="76" t="s">
        <v>71</v>
      </c>
      <c r="F50" s="75" t="s">
        <v>72</v>
      </c>
      <c r="L50" s="7"/>
    </row>
    <row r="51" spans="1:12" x14ac:dyDescent="0.25">
      <c r="A51" s="32"/>
      <c r="C51" s="65" t="s">
        <v>99</v>
      </c>
      <c r="D51" s="65" t="s">
        <v>99</v>
      </c>
      <c r="F51" s="84">
        <v>2023</v>
      </c>
      <c r="L51" s="7"/>
    </row>
    <row r="52" spans="1:12" x14ac:dyDescent="0.25">
      <c r="A52" s="6" t="s">
        <v>56</v>
      </c>
      <c r="B52" s="12"/>
      <c r="C52" s="33">
        <v>22163786.969999999</v>
      </c>
      <c r="D52" s="33">
        <v>6500000</v>
      </c>
      <c r="E52" s="79">
        <v>-40000</v>
      </c>
      <c r="F52" s="81">
        <f>SUM(C52:E52)</f>
        <v>28623786.969999999</v>
      </c>
      <c r="H52" s="78"/>
      <c r="L52" s="7"/>
    </row>
    <row r="53" spans="1:12" x14ac:dyDescent="0.25">
      <c r="A53" s="6" t="s">
        <v>57</v>
      </c>
      <c r="B53" s="12"/>
      <c r="C53" s="34">
        <v>-17361664.510000002</v>
      </c>
      <c r="D53" s="34">
        <v>-4300000</v>
      </c>
      <c r="E53" s="79">
        <v>40000</v>
      </c>
      <c r="F53" s="34">
        <f>SUM(C53:E53)</f>
        <v>-21621664.510000002</v>
      </c>
      <c r="I53" s="77"/>
      <c r="J53" s="77"/>
      <c r="K53" s="81"/>
      <c r="L53" s="7"/>
    </row>
    <row r="54" spans="1:12" x14ac:dyDescent="0.25">
      <c r="B54" s="36" t="s">
        <v>20</v>
      </c>
      <c r="C54" s="33">
        <f>SUM(C52:C53)</f>
        <v>4802122.4599999972</v>
      </c>
      <c r="D54" s="33">
        <f>SUM(D52:D53)</f>
        <v>2200000</v>
      </c>
      <c r="F54" s="81">
        <f>SUM(F52:F53)</f>
        <v>7002122.4599999972</v>
      </c>
      <c r="I54" s="77"/>
      <c r="J54" s="8"/>
      <c r="K54" s="77"/>
      <c r="L54" s="7"/>
    </row>
    <row r="55" spans="1:12" x14ac:dyDescent="0.25">
      <c r="A55" s="32"/>
      <c r="C55" s="33"/>
      <c r="D55" s="33"/>
      <c r="I55" s="77"/>
      <c r="J55" s="77"/>
      <c r="K55" s="8"/>
      <c r="L55" s="7"/>
    </row>
    <row r="56" spans="1:12" x14ac:dyDescent="0.25">
      <c r="A56" s="6" t="s">
        <v>100</v>
      </c>
      <c r="C56" s="33"/>
      <c r="D56" s="33"/>
      <c r="I56" s="8"/>
      <c r="J56" s="8"/>
      <c r="K56" s="81"/>
      <c r="L56" s="7"/>
    </row>
    <row r="57" spans="1:12" x14ac:dyDescent="0.25">
      <c r="B57" s="32" t="s">
        <v>21</v>
      </c>
      <c r="C57" s="33">
        <v>-1405943.33</v>
      </c>
      <c r="D57" s="33">
        <v>-320000</v>
      </c>
      <c r="F57" s="81">
        <f>SUM(C57:E57)</f>
        <v>-1725943.33</v>
      </c>
      <c r="L57" s="7"/>
    </row>
    <row r="58" spans="1:12" x14ac:dyDescent="0.25">
      <c r="B58" s="32" t="s">
        <v>101</v>
      </c>
      <c r="C58" s="33">
        <v>-356000</v>
      </c>
      <c r="D58" s="33">
        <v>-230000</v>
      </c>
      <c r="F58" s="81">
        <f t="shared" ref="F58:F61" si="2">SUM(C58:E58)</f>
        <v>-586000</v>
      </c>
      <c r="L58" s="7"/>
    </row>
    <row r="59" spans="1:12" x14ac:dyDescent="0.25">
      <c r="B59" s="32" t="s">
        <v>22</v>
      </c>
      <c r="C59" s="33">
        <v>-877158.75</v>
      </c>
      <c r="D59" s="33">
        <v>-360000</v>
      </c>
      <c r="F59" s="81">
        <f t="shared" si="2"/>
        <v>-1237158.75</v>
      </c>
      <c r="L59" s="7"/>
    </row>
    <row r="60" spans="1:12" x14ac:dyDescent="0.25">
      <c r="B60" s="32" t="s">
        <v>23</v>
      </c>
      <c r="C60" s="33">
        <v>-482087.61</v>
      </c>
      <c r="D60" s="33">
        <v>-280000</v>
      </c>
      <c r="F60" s="81">
        <f t="shared" si="2"/>
        <v>-762087.61</v>
      </c>
      <c r="H60" s="78"/>
      <c r="I60" s="77"/>
      <c r="L60" s="7"/>
    </row>
    <row r="61" spans="1:12" x14ac:dyDescent="0.25">
      <c r="B61" s="32" t="s">
        <v>24</v>
      </c>
      <c r="C61" s="34">
        <v>-484064.99</v>
      </c>
      <c r="D61" s="34">
        <v>-56000</v>
      </c>
      <c r="F61" s="34">
        <f t="shared" si="2"/>
        <v>-540064.99</v>
      </c>
      <c r="L61" s="7"/>
    </row>
    <row r="62" spans="1:12" x14ac:dyDescent="0.25">
      <c r="B62" s="36" t="s">
        <v>20</v>
      </c>
      <c r="C62" s="33">
        <f>SUM(C54:C61)</f>
        <v>1196867.7799999972</v>
      </c>
      <c r="D62" s="33">
        <f>SUM(D54:D61)</f>
        <v>954000</v>
      </c>
      <c r="F62" s="81">
        <f>SUM(F54:F61)</f>
        <v>2150867.7799999975</v>
      </c>
      <c r="L62" s="7"/>
    </row>
    <row r="63" spans="1:12" x14ac:dyDescent="0.25">
      <c r="A63" s="6" t="s">
        <v>25</v>
      </c>
      <c r="B63" s="32"/>
      <c r="C63" s="33"/>
      <c r="D63" s="33"/>
      <c r="L63" s="7"/>
    </row>
    <row r="64" spans="1:12" x14ac:dyDescent="0.25">
      <c r="A64" s="6"/>
      <c r="C64" s="33"/>
      <c r="D64" s="33"/>
      <c r="L64" s="7"/>
    </row>
    <row r="65" spans="1:13" x14ac:dyDescent="0.25">
      <c r="B65" s="32" t="s">
        <v>55</v>
      </c>
      <c r="C65" s="61">
        <v>487328.772</v>
      </c>
      <c r="D65" s="34">
        <v>0</v>
      </c>
      <c r="E65" s="79">
        <v>-487328.77</v>
      </c>
      <c r="F65" s="34">
        <f>SUM(C65:E65)</f>
        <v>1.9999999785795808E-3</v>
      </c>
      <c r="L65" s="7"/>
    </row>
    <row r="66" spans="1:13" x14ac:dyDescent="0.25">
      <c r="A66" s="32"/>
      <c r="B66" s="32"/>
      <c r="L66" s="7"/>
    </row>
    <row r="67" spans="1:13" ht="26.4" x14ac:dyDescent="0.25">
      <c r="A67" s="6"/>
      <c r="B67" s="37" t="s">
        <v>26</v>
      </c>
      <c r="C67" s="33">
        <f>SUM(C62:C65)</f>
        <v>1684196.5519999973</v>
      </c>
      <c r="D67" s="33">
        <f>SUM(D62:D65)</f>
        <v>954000</v>
      </c>
      <c r="F67" s="81">
        <f>SUM(F62:F65)</f>
        <v>2150867.7819999973</v>
      </c>
      <c r="L67" s="7"/>
    </row>
    <row r="68" spans="1:13" x14ac:dyDescent="0.25">
      <c r="C68" s="33"/>
      <c r="D68" s="33"/>
      <c r="L68" s="7"/>
    </row>
    <row r="69" spans="1:13" x14ac:dyDescent="0.25">
      <c r="B69" s="32" t="s">
        <v>27</v>
      </c>
      <c r="C69" s="33">
        <v>-435421.54</v>
      </c>
      <c r="D69" s="33">
        <v>-391785.38</v>
      </c>
      <c r="F69" s="81">
        <f>SUM(C69:E69)</f>
        <v>-827206.91999999993</v>
      </c>
      <c r="L69" s="7"/>
    </row>
    <row r="70" spans="1:13" x14ac:dyDescent="0.25">
      <c r="A70" s="32"/>
      <c r="B70" s="32"/>
      <c r="C70" s="33"/>
      <c r="D70" s="33"/>
      <c r="F70" s="82"/>
    </row>
    <row r="71" spans="1:13" ht="13.8" thickBot="1" x14ac:dyDescent="0.3">
      <c r="A71" s="6"/>
      <c r="B71" s="32" t="s">
        <v>28</v>
      </c>
      <c r="C71" s="35">
        <f>SUM(C67:C69)</f>
        <v>1248775.0119999973</v>
      </c>
      <c r="D71" s="35">
        <f>SUM(D67:D70)</f>
        <v>562214.62</v>
      </c>
      <c r="F71" s="35">
        <f>SUM(F67:F69)</f>
        <v>1323660.8619999974</v>
      </c>
    </row>
    <row r="72" spans="1:13" ht="13.8" thickTop="1" x14ac:dyDescent="0.25"/>
    <row r="73" spans="1:13" x14ac:dyDescent="0.25">
      <c r="B73" s="14" t="s">
        <v>112</v>
      </c>
      <c r="F73" s="83">
        <v>-224885.848</v>
      </c>
    </row>
    <row r="74" spans="1:13" ht="13.8" thickBot="1" x14ac:dyDescent="0.3">
      <c r="F74" s="35">
        <f>SUM(F71:F73)</f>
        <v>1098775.0139999974</v>
      </c>
    </row>
    <row r="75" spans="1:13" ht="13.8" thickTop="1" x14ac:dyDescent="0.25"/>
    <row r="78" spans="1:13" x14ac:dyDescent="0.25">
      <c r="G78" s="4"/>
      <c r="H78" s="4"/>
      <c r="I78" s="4"/>
      <c r="J78" s="4"/>
    </row>
    <row r="79" spans="1:13" ht="14.4" x14ac:dyDescent="0.3">
      <c r="A79" s="112" t="s">
        <v>135</v>
      </c>
      <c r="B79" s="112"/>
      <c r="C79" s="112"/>
      <c r="D79" s="112"/>
      <c r="E79" s="112"/>
      <c r="F79" s="112"/>
      <c r="G79" s="4"/>
      <c r="H79" s="112" t="s">
        <v>136</v>
      </c>
      <c r="I79" s="112"/>
      <c r="J79" s="112"/>
      <c r="K79" s="112"/>
      <c r="L79" s="112"/>
      <c r="M79" s="112"/>
    </row>
    <row r="80" spans="1:13" ht="14.4" x14ac:dyDescent="0.3">
      <c r="C80" s="75" t="s">
        <v>51</v>
      </c>
      <c r="D80" s="66" t="s">
        <v>1</v>
      </c>
      <c r="E80" s="85" t="s">
        <v>71</v>
      </c>
      <c r="F80" s="75" t="s">
        <v>72</v>
      </c>
      <c r="G80" s="86"/>
      <c r="J80" s="99" t="s">
        <v>51</v>
      </c>
      <c r="K80" s="99" t="s">
        <v>1</v>
      </c>
      <c r="L80" s="85" t="s">
        <v>71</v>
      </c>
      <c r="M80" s="75" t="s">
        <v>72</v>
      </c>
    </row>
    <row r="81" spans="1:13" ht="14.4" x14ac:dyDescent="0.3">
      <c r="C81" s="65" t="s">
        <v>99</v>
      </c>
      <c r="D81" s="65" t="s">
        <v>99</v>
      </c>
      <c r="F81" s="84">
        <v>2023</v>
      </c>
      <c r="G81" s="4"/>
      <c r="J81" s="65" t="s">
        <v>99</v>
      </c>
      <c r="K81" s="65" t="s">
        <v>99</v>
      </c>
      <c r="L81" s="1"/>
      <c r="M81" s="65" t="s">
        <v>99</v>
      </c>
    </row>
    <row r="82" spans="1:13" ht="14.4" x14ac:dyDescent="0.3">
      <c r="A82" s="44" t="s">
        <v>43</v>
      </c>
      <c r="C82" s="8"/>
      <c r="D82" s="8"/>
      <c r="G82" s="4"/>
      <c r="H82" s="44" t="s">
        <v>43</v>
      </c>
      <c r="J82" s="8"/>
      <c r="K82" s="8"/>
      <c r="L82" s="1"/>
    </row>
    <row r="83" spans="1:13" ht="14.4" x14ac:dyDescent="0.3">
      <c r="B83" s="45" t="s">
        <v>44</v>
      </c>
      <c r="C83" s="8">
        <v>2207948.35</v>
      </c>
      <c r="D83" s="8">
        <v>3000000</v>
      </c>
      <c r="F83" s="8">
        <f>SUM(C83:E83)</f>
        <v>5207948.3499999996</v>
      </c>
      <c r="G83" s="4"/>
      <c r="I83" s="45" t="s">
        <v>44</v>
      </c>
      <c r="J83" s="8">
        <v>2207948.35</v>
      </c>
      <c r="K83" s="8">
        <v>3000000</v>
      </c>
      <c r="L83" s="1"/>
      <c r="M83" s="8">
        <f>SUM(J83:L83)</f>
        <v>5207948.3499999996</v>
      </c>
    </row>
    <row r="84" spans="1:13" ht="14.4" x14ac:dyDescent="0.3">
      <c r="B84" s="45" t="s">
        <v>45</v>
      </c>
      <c r="C84" s="10">
        <v>5000000</v>
      </c>
      <c r="D84" s="10">
        <v>2600000</v>
      </c>
      <c r="F84" s="8">
        <f>SUM(C84:E84)</f>
        <v>7600000</v>
      </c>
      <c r="G84" s="87"/>
      <c r="I84" s="45" t="s">
        <v>45</v>
      </c>
      <c r="J84" s="10">
        <v>5000000</v>
      </c>
      <c r="K84" s="10">
        <v>2600000</v>
      </c>
      <c r="L84" s="1"/>
      <c r="M84" s="8">
        <f>SUM(J84:L84)</f>
        <v>7600000</v>
      </c>
    </row>
    <row r="85" spans="1:13" ht="15" thickBot="1" x14ac:dyDescent="0.35">
      <c r="B85" s="45" t="s">
        <v>46</v>
      </c>
      <c r="C85" s="15">
        <f>-C83+C84</f>
        <v>2792051.65</v>
      </c>
      <c r="D85" s="15">
        <f>-D83+D84</f>
        <v>-400000</v>
      </c>
      <c r="F85" s="15">
        <f>-F83+F84</f>
        <v>2392051.6500000004</v>
      </c>
      <c r="G85" s="86"/>
      <c r="I85" s="45" t="s">
        <v>46</v>
      </c>
      <c r="J85" s="15">
        <f>-J83+J84</f>
        <v>2792051.65</v>
      </c>
      <c r="K85" s="15">
        <f>-K83+K84</f>
        <v>-400000</v>
      </c>
      <c r="L85" s="1"/>
      <c r="M85" s="15">
        <f>-M83+M84</f>
        <v>2392051.6500000004</v>
      </c>
    </row>
    <row r="86" spans="1:13" ht="15" thickTop="1" x14ac:dyDescent="0.3">
      <c r="A86" s="45"/>
      <c r="C86" s="8"/>
      <c r="D86" s="8"/>
      <c r="G86" s="88"/>
      <c r="H86" s="45"/>
      <c r="J86" s="8"/>
      <c r="K86" s="8"/>
      <c r="L86" s="1"/>
    </row>
    <row r="87" spans="1:13" ht="14.4" x14ac:dyDescent="0.3">
      <c r="A87" s="44" t="s">
        <v>47</v>
      </c>
      <c r="C87" s="8"/>
      <c r="D87" s="8"/>
      <c r="G87" s="89"/>
      <c r="H87" s="44" t="s">
        <v>47</v>
      </c>
      <c r="J87" s="8"/>
      <c r="K87" s="8"/>
      <c r="L87" s="1"/>
    </row>
    <row r="88" spans="1:13" ht="15.6" x14ac:dyDescent="0.4">
      <c r="A88" s="46" t="s">
        <v>0</v>
      </c>
      <c r="C88" s="40"/>
      <c r="D88" s="40"/>
      <c r="G88" s="4"/>
      <c r="H88" s="46" t="s">
        <v>0</v>
      </c>
      <c r="J88" s="40"/>
      <c r="K88" s="40"/>
      <c r="L88" s="1"/>
    </row>
    <row r="89" spans="1:13" ht="14.4" x14ac:dyDescent="0.3">
      <c r="A89" s="41"/>
      <c r="C89" s="8"/>
      <c r="D89" s="8"/>
      <c r="G89" s="90"/>
      <c r="H89" s="41"/>
      <c r="J89" s="8"/>
      <c r="K89" s="8"/>
      <c r="L89" s="1"/>
    </row>
    <row r="90" spans="1:13" ht="14.4" x14ac:dyDescent="0.3">
      <c r="B90" s="41" t="s">
        <v>31</v>
      </c>
      <c r="C90" s="8"/>
      <c r="D90" s="8"/>
      <c r="G90" s="90"/>
      <c r="I90" s="102" t="s">
        <v>28</v>
      </c>
      <c r="J90" s="8">
        <v>1248775.01</v>
      </c>
      <c r="K90" s="8">
        <v>562214.62</v>
      </c>
      <c r="L90" s="1"/>
      <c r="M90" s="8">
        <f>SUM(J90:L90)</f>
        <v>1810989.63</v>
      </c>
    </row>
    <row r="91" spans="1:13" ht="14.4" x14ac:dyDescent="0.3">
      <c r="A91" s="42" t="s">
        <v>32</v>
      </c>
      <c r="C91" s="8">
        <v>22193786.969999999</v>
      </c>
      <c r="D91" s="8">
        <v>6397105.4400000004</v>
      </c>
      <c r="E91" s="111"/>
      <c r="F91" s="8">
        <f>SUM(C91:E91)</f>
        <v>28590892.41</v>
      </c>
      <c r="G91" s="4"/>
      <c r="H91" s="42"/>
      <c r="I91" s="106" t="s">
        <v>139</v>
      </c>
      <c r="J91" s="107">
        <v>482087.61</v>
      </c>
      <c r="K91" s="107">
        <v>280000</v>
      </c>
      <c r="L91" s="108"/>
      <c r="M91" s="8">
        <f>SUM(J91:L91)</f>
        <v>762087.61</v>
      </c>
    </row>
    <row r="92" spans="1:13" ht="14.4" x14ac:dyDescent="0.3">
      <c r="A92" s="42"/>
      <c r="B92" s="7" t="s">
        <v>34</v>
      </c>
      <c r="C92" s="13">
        <f>SUM(C91:C91)</f>
        <v>22193786.969999999</v>
      </c>
      <c r="D92" s="13">
        <f>SUM(D91:D91)</f>
        <v>6397105.4400000004</v>
      </c>
      <c r="E92" s="111"/>
      <c r="F92" s="13">
        <f>SUM(F91:F91)</f>
        <v>28590892.41</v>
      </c>
      <c r="G92" s="91"/>
      <c r="H92" s="42"/>
      <c r="I92" s="103" t="s">
        <v>124</v>
      </c>
      <c r="J92" s="8"/>
      <c r="K92" s="20"/>
      <c r="L92" s="1"/>
    </row>
    <row r="93" spans="1:13" ht="14.4" x14ac:dyDescent="0.3">
      <c r="C93" s="8"/>
      <c r="D93" s="8"/>
      <c r="E93" s="111"/>
      <c r="G93" s="90"/>
      <c r="I93" s="7" t="s">
        <v>127</v>
      </c>
      <c r="J93" s="20">
        <v>30000</v>
      </c>
      <c r="K93" s="8">
        <v>-102894.55915</v>
      </c>
      <c r="L93" s="60">
        <v>40000</v>
      </c>
      <c r="M93" s="8">
        <f>SUM(J93:L93)</f>
        <v>-32894.559150000001</v>
      </c>
    </row>
    <row r="94" spans="1:13" ht="14.4" x14ac:dyDescent="0.3">
      <c r="A94" s="43"/>
      <c r="B94" s="41" t="s">
        <v>35</v>
      </c>
      <c r="C94" s="8"/>
      <c r="D94" s="8"/>
      <c r="E94" s="111"/>
      <c r="G94" s="90"/>
      <c r="H94" s="43"/>
      <c r="I94" s="7" t="s">
        <v>128</v>
      </c>
      <c r="J94" s="8">
        <v>-71776.969999999972</v>
      </c>
      <c r="K94" s="8">
        <v>286405.79929998133</v>
      </c>
      <c r="L94" s="1"/>
      <c r="M94" s="8">
        <f t="shared" ref="M94:M100" si="3">SUM(J94:L94)</f>
        <v>214628.82929998136</v>
      </c>
    </row>
    <row r="95" spans="1:13" ht="14.4" x14ac:dyDescent="0.3">
      <c r="A95" s="42" t="s">
        <v>36</v>
      </c>
      <c r="C95" s="8">
        <v>15542314.720000003</v>
      </c>
      <c r="D95" s="8">
        <v>5220338.3688604301</v>
      </c>
      <c r="E95" s="111"/>
      <c r="F95" s="8">
        <f>SUM(C95:E95)</f>
        <v>20762653.088860434</v>
      </c>
      <c r="G95" s="90"/>
      <c r="H95" s="42"/>
      <c r="I95" s="104" t="s">
        <v>129</v>
      </c>
      <c r="J95" s="8">
        <v>2002110.1600000001</v>
      </c>
      <c r="K95" s="8">
        <v>-223788.75886042599</v>
      </c>
      <c r="L95" s="1"/>
      <c r="M95" s="8">
        <f t="shared" si="3"/>
        <v>1778321.4011395741</v>
      </c>
    </row>
    <row r="96" spans="1:13" ht="14.4" x14ac:dyDescent="0.3">
      <c r="A96" s="42" t="s">
        <v>104</v>
      </c>
      <c r="C96" s="8">
        <v>356000</v>
      </c>
      <c r="D96" s="8">
        <v>230000</v>
      </c>
      <c r="F96" s="8">
        <f t="shared" ref="F96:F100" si="4">SUM(C96:E96)</f>
        <v>586000</v>
      </c>
      <c r="G96" s="90"/>
      <c r="H96" s="42"/>
      <c r="I96" s="7" t="s">
        <v>130</v>
      </c>
      <c r="J96" s="8">
        <v>-182760.37000000011</v>
      </c>
      <c r="K96" s="8">
        <v>-696549.60999999987</v>
      </c>
      <c r="L96" s="60">
        <v>-40000</v>
      </c>
      <c r="M96" s="8">
        <f t="shared" si="3"/>
        <v>-919309.98</v>
      </c>
    </row>
    <row r="97" spans="1:13" ht="14.4" x14ac:dyDescent="0.3">
      <c r="A97" s="42" t="s">
        <v>37</v>
      </c>
      <c r="C97" s="8">
        <v>1405943.33</v>
      </c>
      <c r="D97" s="8">
        <v>320000</v>
      </c>
      <c r="F97" s="8">
        <f t="shared" si="4"/>
        <v>1725943.33</v>
      </c>
      <c r="G97" s="90"/>
      <c r="H97" s="42"/>
      <c r="I97" s="7" t="s">
        <v>131</v>
      </c>
      <c r="J97" s="8">
        <v>133032.59</v>
      </c>
      <c r="K97" s="8">
        <v>76717.954024513863</v>
      </c>
      <c r="L97" s="1"/>
      <c r="M97" s="8">
        <f t="shared" si="3"/>
        <v>209750.54402451386</v>
      </c>
    </row>
    <row r="98" spans="1:13" ht="14.4" x14ac:dyDescent="0.3">
      <c r="A98" s="42" t="s">
        <v>38</v>
      </c>
      <c r="C98" s="8">
        <v>858230.90999999992</v>
      </c>
      <c r="D98" s="8">
        <v>84661.626675504842</v>
      </c>
      <c r="F98" s="8">
        <f t="shared" si="4"/>
        <v>942892.53667550476</v>
      </c>
      <c r="G98" s="90"/>
      <c r="H98" s="42"/>
      <c r="I98" s="7" t="s">
        <v>138</v>
      </c>
      <c r="J98" s="8">
        <v>-487328.772</v>
      </c>
      <c r="K98" s="8">
        <v>0</v>
      </c>
      <c r="L98" s="108"/>
      <c r="M98" s="8">
        <f t="shared" si="3"/>
        <v>-487328.772</v>
      </c>
    </row>
    <row r="99" spans="1:13" ht="14.4" x14ac:dyDescent="0.3">
      <c r="A99" s="42" t="s">
        <v>39</v>
      </c>
      <c r="C99" s="8">
        <v>482087.61</v>
      </c>
      <c r="D99" s="8">
        <v>280000</v>
      </c>
      <c r="F99" s="8">
        <f t="shared" si="4"/>
        <v>762087.61</v>
      </c>
      <c r="G99" s="90"/>
      <c r="H99" s="42"/>
      <c r="I99" s="7" t="s">
        <v>142</v>
      </c>
      <c r="J99" s="8">
        <v>0</v>
      </c>
      <c r="K99" s="8">
        <v>-102105.44085</v>
      </c>
      <c r="L99" s="1"/>
      <c r="M99" s="8">
        <f t="shared" si="3"/>
        <v>-102105.44085</v>
      </c>
    </row>
    <row r="100" spans="1:13" ht="14.4" x14ac:dyDescent="0.3">
      <c r="A100" s="42" t="s">
        <v>40</v>
      </c>
      <c r="C100" s="8">
        <v>877158.75</v>
      </c>
      <c r="D100" s="8">
        <v>462105.44085000001</v>
      </c>
      <c r="F100" s="8">
        <f t="shared" si="4"/>
        <v>1339264.1908499999</v>
      </c>
      <c r="G100" s="21"/>
      <c r="H100" s="42"/>
      <c r="I100" s="7" t="s">
        <v>140</v>
      </c>
      <c r="J100" s="8">
        <v>-482087.61</v>
      </c>
      <c r="K100" s="8">
        <v>-280000</v>
      </c>
      <c r="L100" s="1"/>
      <c r="M100" s="8">
        <f t="shared" si="3"/>
        <v>-762087.61</v>
      </c>
    </row>
    <row r="101" spans="1:13" ht="14.4" x14ac:dyDescent="0.3">
      <c r="A101" s="42"/>
      <c r="B101" s="7" t="s">
        <v>42</v>
      </c>
      <c r="C101" s="13">
        <f>-SUM(C95:C100)</f>
        <v>-19521735.320000004</v>
      </c>
      <c r="D101" s="13">
        <f>-SUM(D95:D100)</f>
        <v>-6597105.4363859352</v>
      </c>
      <c r="F101" s="13">
        <f>-SUM(F95:F100)</f>
        <v>-26118840.756385941</v>
      </c>
      <c r="G101" s="21"/>
      <c r="H101" s="42"/>
      <c r="I101" s="9" t="s">
        <v>48</v>
      </c>
      <c r="J101" s="31"/>
      <c r="K101" s="31"/>
      <c r="L101" s="1"/>
    </row>
    <row r="102" spans="1:13" ht="14.4" x14ac:dyDescent="0.3">
      <c r="A102" s="9"/>
      <c r="B102" s="9" t="s">
        <v>48</v>
      </c>
      <c r="D102" s="31"/>
      <c r="G102" s="4"/>
      <c r="H102" s="9"/>
      <c r="I102" s="9" t="s">
        <v>49</v>
      </c>
      <c r="J102" s="48">
        <f>SUM(J90:J101)</f>
        <v>2672051.6480000005</v>
      </c>
      <c r="K102" s="48">
        <f>SUM(K90:K101)</f>
        <v>-199999.99553593068</v>
      </c>
      <c r="L102" s="1"/>
      <c r="M102" s="48">
        <f>SUM(M90:M101)</f>
        <v>2472051.6524640694</v>
      </c>
    </row>
    <row r="103" spans="1:13" ht="14.4" x14ac:dyDescent="0.3">
      <c r="A103" s="9"/>
      <c r="B103" s="9" t="s">
        <v>49</v>
      </c>
      <c r="C103" s="48">
        <f>+C92+C101</f>
        <v>2672051.6499999948</v>
      </c>
      <c r="D103" s="48">
        <f>+D92+D101</f>
        <v>-199999.99638593476</v>
      </c>
      <c r="F103" s="48">
        <f>+F92+F101</f>
        <v>2472051.6536140591</v>
      </c>
      <c r="G103" s="88"/>
      <c r="H103" s="9"/>
      <c r="I103"/>
      <c r="J103"/>
      <c r="K103"/>
      <c r="L103" s="1"/>
    </row>
    <row r="104" spans="1:13" ht="14.4" x14ac:dyDescent="0.3">
      <c r="G104" s="89"/>
      <c r="H104"/>
      <c r="J104" s="8"/>
      <c r="K104"/>
      <c r="L104" s="1"/>
    </row>
    <row r="105" spans="1:13" ht="15.6" x14ac:dyDescent="0.4">
      <c r="A105" s="46" t="s">
        <v>6</v>
      </c>
      <c r="C105" s="40"/>
      <c r="G105" s="91"/>
      <c r="H105" s="46" t="s">
        <v>6</v>
      </c>
      <c r="J105" s="8"/>
      <c r="K105"/>
      <c r="L105" s="1"/>
    </row>
    <row r="106" spans="1:13" ht="14.4" x14ac:dyDescent="0.3">
      <c r="A106" s="41"/>
      <c r="C106" s="8"/>
      <c r="G106" s="90"/>
      <c r="H106" s="43"/>
      <c r="I106" s="41" t="s">
        <v>105</v>
      </c>
      <c r="J106" s="8"/>
      <c r="K106"/>
      <c r="L106" s="1"/>
    </row>
    <row r="107" spans="1:13" ht="14.4" x14ac:dyDescent="0.3">
      <c r="A107" s="43"/>
      <c r="B107" s="41" t="s">
        <v>105</v>
      </c>
      <c r="C107" s="8"/>
      <c r="G107" s="90"/>
      <c r="H107" s="42" t="s">
        <v>106</v>
      </c>
      <c r="J107" s="8">
        <v>120000</v>
      </c>
      <c r="K107" s="8"/>
      <c r="L107" s="60">
        <v>-120000</v>
      </c>
      <c r="M107" s="8">
        <f>SUM(J107:L107)</f>
        <v>0</v>
      </c>
    </row>
    <row r="108" spans="1:13" ht="14.4" x14ac:dyDescent="0.3">
      <c r="A108" s="42" t="s">
        <v>106</v>
      </c>
      <c r="C108" s="8">
        <v>120000</v>
      </c>
      <c r="D108" s="8"/>
      <c r="E108" s="79">
        <v>-120000</v>
      </c>
      <c r="F108" s="8">
        <f>SUM(C108:E108)</f>
        <v>0</v>
      </c>
      <c r="G108" s="21"/>
      <c r="H108" s="42"/>
      <c r="I108" s="7" t="s">
        <v>109</v>
      </c>
      <c r="J108" s="13">
        <f>SUM(J107:J107)</f>
        <v>120000</v>
      </c>
      <c r="K108" s="13">
        <f>-SUM(K107:K107)</f>
        <v>0</v>
      </c>
      <c r="L108" s="1"/>
      <c r="M108" s="13">
        <f>SUM(M107:M107)</f>
        <v>0</v>
      </c>
    </row>
    <row r="109" spans="1:13" ht="14.4" x14ac:dyDescent="0.3">
      <c r="A109" s="42"/>
      <c r="B109" s="7" t="s">
        <v>109</v>
      </c>
      <c r="C109" s="13">
        <f>SUM(C108:C108)</f>
        <v>120000</v>
      </c>
      <c r="D109" s="13">
        <f>-SUM(D108:D108)</f>
        <v>0</v>
      </c>
      <c r="F109" s="13">
        <f>SUM(F108:F108)</f>
        <v>0</v>
      </c>
      <c r="G109" s="21"/>
      <c r="H109" s="9"/>
      <c r="I109" s="9" t="s">
        <v>48</v>
      </c>
      <c r="J109" s="31"/>
      <c r="K109" s="31"/>
      <c r="L109" s="1"/>
      <c r="M109" s="31"/>
    </row>
    <row r="110" spans="1:13" ht="14.4" x14ac:dyDescent="0.3">
      <c r="A110" s="9"/>
      <c r="B110" s="9" t="s">
        <v>48</v>
      </c>
      <c r="D110" s="31"/>
      <c r="G110" s="4"/>
      <c r="H110" s="9"/>
      <c r="I110" s="9" t="s">
        <v>53</v>
      </c>
      <c r="J110" s="48">
        <f>SUM(J108)</f>
        <v>120000</v>
      </c>
      <c r="K110" s="48">
        <f>SUM(K108)</f>
        <v>0</v>
      </c>
      <c r="L110" s="1"/>
      <c r="M110" s="48">
        <f>SUM(M108)</f>
        <v>0</v>
      </c>
    </row>
    <row r="111" spans="1:13" ht="14.4" x14ac:dyDescent="0.3">
      <c r="A111" s="9"/>
      <c r="B111" s="9" t="s">
        <v>53</v>
      </c>
      <c r="C111" s="48">
        <f>SUM(C109)</f>
        <v>120000</v>
      </c>
      <c r="D111" s="48">
        <f>SUM(D109)</f>
        <v>0</v>
      </c>
      <c r="F111" s="48">
        <f>SUM(F109)</f>
        <v>0</v>
      </c>
      <c r="G111" s="88"/>
      <c r="H111"/>
      <c r="I111"/>
      <c r="J111"/>
      <c r="K111"/>
      <c r="L111" s="1"/>
    </row>
    <row r="112" spans="1:13" ht="14.4" x14ac:dyDescent="0.3">
      <c r="D112"/>
      <c r="G112" s="89"/>
      <c r="H112" s="46" t="s">
        <v>107</v>
      </c>
      <c r="J112" s="8"/>
      <c r="K112"/>
      <c r="L112" s="1"/>
    </row>
    <row r="113" spans="1:13" ht="15.6" x14ac:dyDescent="0.4">
      <c r="A113" s="46" t="s">
        <v>107</v>
      </c>
      <c r="C113" s="40"/>
      <c r="D113"/>
      <c r="G113" s="91"/>
      <c r="H113" s="41"/>
      <c r="I113" s="41" t="s">
        <v>35</v>
      </c>
      <c r="J113" s="8"/>
      <c r="K113"/>
      <c r="L113" s="1"/>
    </row>
    <row r="114" spans="1:13" ht="14.4" x14ac:dyDescent="0.3">
      <c r="A114" s="41"/>
      <c r="C114" s="8"/>
      <c r="D114"/>
      <c r="G114" s="90"/>
      <c r="H114" s="42" t="s">
        <v>108</v>
      </c>
      <c r="J114" s="8">
        <v>0</v>
      </c>
      <c r="K114" s="8">
        <v>200000</v>
      </c>
      <c r="L114" s="60">
        <v>-120000</v>
      </c>
      <c r="M114" s="8">
        <f>SUM(J114:L114)</f>
        <v>80000</v>
      </c>
    </row>
    <row r="115" spans="1:13" ht="14.4" x14ac:dyDescent="0.3">
      <c r="A115" s="43"/>
      <c r="B115" s="41" t="s">
        <v>35</v>
      </c>
      <c r="C115" s="8"/>
      <c r="D115"/>
      <c r="G115" s="90"/>
      <c r="I115" s="7" t="s">
        <v>42</v>
      </c>
      <c r="J115" s="13">
        <f>SUM(J114:J114)</f>
        <v>0</v>
      </c>
      <c r="K115" s="13">
        <f>-SUM(K114:K114)</f>
        <v>-200000</v>
      </c>
      <c r="L115" s="1"/>
      <c r="M115" s="13">
        <f>-SUM(M114:M114)</f>
        <v>-80000</v>
      </c>
    </row>
    <row r="116" spans="1:13" ht="14.4" x14ac:dyDescent="0.3">
      <c r="A116" s="42" t="s">
        <v>108</v>
      </c>
      <c r="C116" s="8">
        <v>0</v>
      </c>
      <c r="D116" s="8">
        <v>200000</v>
      </c>
      <c r="E116" s="79">
        <v>-120000</v>
      </c>
      <c r="F116" s="8">
        <f>SUM(C116:E116)</f>
        <v>80000</v>
      </c>
      <c r="G116" s="21"/>
      <c r="H116" s="42"/>
      <c r="I116" s="9" t="s">
        <v>48</v>
      </c>
      <c r="J116" s="31"/>
      <c r="K116" s="31"/>
      <c r="L116" s="1"/>
    </row>
    <row r="117" spans="1:13" ht="14.4" x14ac:dyDescent="0.3">
      <c r="A117" s="42"/>
      <c r="B117" s="7" t="s">
        <v>42</v>
      </c>
      <c r="C117" s="13">
        <f>SUM(C116:C116)</f>
        <v>0</v>
      </c>
      <c r="D117" s="13">
        <f>-SUM(D116:D116)</f>
        <v>-200000</v>
      </c>
      <c r="F117" s="13">
        <f>-SUM(F116:F116)</f>
        <v>-80000</v>
      </c>
      <c r="G117" s="21"/>
      <c r="H117" s="9"/>
      <c r="I117" s="9" t="s">
        <v>110</v>
      </c>
      <c r="J117" s="48">
        <f>SUM(J115)</f>
        <v>0</v>
      </c>
      <c r="K117" s="48">
        <f>SUM(K115)</f>
        <v>-200000</v>
      </c>
      <c r="L117" s="1"/>
      <c r="M117" s="48">
        <f>SUM(M115)</f>
        <v>-80000</v>
      </c>
    </row>
    <row r="118" spans="1:13" ht="14.4" x14ac:dyDescent="0.3">
      <c r="A118" s="9"/>
      <c r="B118" s="9" t="s">
        <v>48</v>
      </c>
      <c r="D118" s="31"/>
      <c r="G118" s="21"/>
      <c r="H118" s="9"/>
      <c r="I118" s="9"/>
      <c r="J118" s="68"/>
      <c r="K118" s="68"/>
      <c r="L118" s="1"/>
    </row>
    <row r="119" spans="1:13" ht="14.4" x14ac:dyDescent="0.3">
      <c r="A119" s="9"/>
      <c r="B119" s="9" t="s">
        <v>110</v>
      </c>
      <c r="C119" s="48">
        <f>SUM(C117)</f>
        <v>0</v>
      </c>
      <c r="D119" s="48">
        <f>SUM(D117)</f>
        <v>-200000</v>
      </c>
      <c r="F119" s="48">
        <f>SUM(F117)</f>
        <v>-80000</v>
      </c>
      <c r="G119" s="4"/>
      <c r="H119" s="9"/>
      <c r="I119" s="32" t="s">
        <v>46</v>
      </c>
      <c r="J119" s="50">
        <f>SUM(J102,J110)</f>
        <v>2792051.6480000005</v>
      </c>
      <c r="K119" s="50">
        <f>+K102+K110+K117</f>
        <v>-399999.99553593068</v>
      </c>
      <c r="L119" s="1"/>
      <c r="M119" s="50">
        <f>+M102+M110+M117</f>
        <v>2392051.6524640694</v>
      </c>
    </row>
    <row r="120" spans="1:13" x14ac:dyDescent="0.25">
      <c r="A120" s="9"/>
      <c r="B120" s="9"/>
      <c r="C120" s="68"/>
      <c r="D120" s="68"/>
      <c r="G120" s="4"/>
      <c r="H120" s="4"/>
      <c r="I120" s="4"/>
      <c r="J120" s="4"/>
    </row>
    <row r="121" spans="1:13" x14ac:dyDescent="0.25">
      <c r="B121" s="32" t="s">
        <v>46</v>
      </c>
      <c r="C121" s="50">
        <f>+C103+C111+C119</f>
        <v>2792051.6499999948</v>
      </c>
      <c r="D121" s="50">
        <f>+D103+D111+D119</f>
        <v>-399999.99638593476</v>
      </c>
      <c r="F121" s="50">
        <f>+F103+F111+F119</f>
        <v>2392051.6536140591</v>
      </c>
    </row>
  </sheetData>
  <mergeCells count="2">
    <mergeCell ref="H79:M79"/>
    <mergeCell ref="A79:F79"/>
  </mergeCells>
  <pageMargins left="0.7" right="0.7" top="0.75" bottom="0.75" header="0.3" footer="0.3"/>
  <pageSetup paperSize="9" scale="3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16" workbookViewId="0">
      <selection activeCell="H9" sqref="H8:H9"/>
    </sheetView>
  </sheetViews>
  <sheetFormatPr baseColWidth="10" defaultColWidth="11.44140625" defaultRowHeight="13.2" x14ac:dyDescent="0.25"/>
  <cols>
    <col min="1" max="1" width="11.44140625" style="7"/>
    <col min="2" max="2" width="42.6640625" style="7" customWidth="1"/>
    <col min="3" max="3" width="13.44140625" style="7" bestFit="1" customWidth="1"/>
    <col min="4" max="4" width="12" style="7" bestFit="1" customWidth="1"/>
    <col min="5" max="5" width="11.44140625" style="77"/>
    <col min="6" max="6" width="14.5546875" style="7" bestFit="1" customWidth="1"/>
    <col min="7" max="7" width="15" style="7" customWidth="1"/>
    <col min="8" max="8" width="21.5546875" style="7" customWidth="1"/>
    <col min="9" max="9" width="39.44140625" style="7" customWidth="1"/>
    <col min="10" max="10" width="14" style="7" customWidth="1"/>
    <col min="11" max="11" width="12.109375" style="7" bestFit="1" customWidth="1"/>
    <col min="12" max="12" width="11.44140625" style="77"/>
    <col min="13" max="13" width="12.44140625" style="7" bestFit="1" customWidth="1"/>
    <col min="14" max="16384" width="11.44140625" style="7"/>
  </cols>
  <sheetData>
    <row r="1" spans="1:8" s="7" customFormat="1" x14ac:dyDescent="0.25">
      <c r="A1" s="7" t="s">
        <v>117</v>
      </c>
      <c r="C1" s="77" t="s">
        <v>51</v>
      </c>
      <c r="D1" s="77" t="s">
        <v>116</v>
      </c>
      <c r="E1" s="77"/>
      <c r="F1" s="77"/>
    </row>
    <row r="2" spans="1:8" s="7" customFormat="1" ht="12.75" x14ac:dyDescent="0.2">
      <c r="B2" s="7" t="s">
        <v>113</v>
      </c>
      <c r="C2" s="77">
        <v>2228000</v>
      </c>
      <c r="D2" s="77">
        <v>2228000</v>
      </c>
      <c r="E2" s="77"/>
      <c r="F2" s="77"/>
      <c r="G2" s="77"/>
    </row>
    <row r="3" spans="1:8" s="7" customFormat="1" ht="12.75" x14ac:dyDescent="0.2">
      <c r="B3" s="7" t="s">
        <v>114</v>
      </c>
      <c r="C3" s="80">
        <v>0.6</v>
      </c>
      <c r="D3" s="80">
        <v>0.4</v>
      </c>
      <c r="E3" s="77"/>
      <c r="F3" s="77"/>
      <c r="G3" s="97"/>
    </row>
    <row r="4" spans="1:8" s="7" customFormat="1" ht="12.75" x14ac:dyDescent="0.2">
      <c r="B4" s="7" t="s">
        <v>115</v>
      </c>
      <c r="C4" s="77">
        <f>+C2*C3</f>
        <v>1336800</v>
      </c>
      <c r="D4" s="77">
        <f>+D2*D3</f>
        <v>891200</v>
      </c>
      <c r="E4" s="77"/>
      <c r="F4" s="77"/>
    </row>
    <row r="5" spans="1:8" s="7" customFormat="1" ht="12.75" x14ac:dyDescent="0.2">
      <c r="C5" s="77">
        <v>-120000</v>
      </c>
      <c r="D5" s="77">
        <v>-80000</v>
      </c>
      <c r="E5" s="77"/>
      <c r="F5" s="77"/>
    </row>
    <row r="6" spans="1:8" s="7" customFormat="1" x14ac:dyDescent="0.25">
      <c r="A6" s="7" t="s">
        <v>118</v>
      </c>
      <c r="C6" s="77">
        <f>SUM(C4:C5)</f>
        <v>1216800</v>
      </c>
      <c r="D6" s="77">
        <f>SUM(D4:D5)</f>
        <v>811200</v>
      </c>
      <c r="E6" s="77"/>
      <c r="F6" s="77"/>
    </row>
    <row r="7" spans="1:8" s="7" customFormat="1" x14ac:dyDescent="0.25">
      <c r="B7" s="7" t="s">
        <v>119</v>
      </c>
      <c r="C7" s="77">
        <v>562214.62</v>
      </c>
      <c r="D7" s="77">
        <v>562214.62</v>
      </c>
      <c r="E7" s="77"/>
      <c r="F7" s="77"/>
    </row>
    <row r="8" spans="1:8" s="7" customFormat="1" ht="12.75" x14ac:dyDescent="0.2">
      <c r="B8" s="7" t="s">
        <v>114</v>
      </c>
      <c r="C8" s="80">
        <v>0.6</v>
      </c>
      <c r="D8" s="80">
        <v>0.4</v>
      </c>
      <c r="E8" s="77"/>
      <c r="F8" s="77"/>
    </row>
    <row r="9" spans="1:8" s="7" customFormat="1" ht="12.75" x14ac:dyDescent="0.2">
      <c r="B9" s="7" t="s">
        <v>120</v>
      </c>
      <c r="C9" s="77">
        <f>+C7*C8</f>
        <v>337328.772</v>
      </c>
      <c r="D9" s="77">
        <f>+D7*D8</f>
        <v>224885.848</v>
      </c>
      <c r="E9" s="77"/>
      <c r="F9" s="77"/>
    </row>
    <row r="10" spans="1:8" s="7" customFormat="1" ht="12.75" x14ac:dyDescent="0.2">
      <c r="C10" s="77"/>
      <c r="D10" s="77"/>
      <c r="E10" s="77"/>
      <c r="F10" s="77"/>
    </row>
    <row r="12" spans="1:8" s="7" customFormat="1" ht="12.75" x14ac:dyDescent="0.2">
      <c r="A12" s="3" t="s">
        <v>2</v>
      </c>
      <c r="B12" s="4"/>
      <c r="C12" s="65" t="s">
        <v>1</v>
      </c>
      <c r="D12" s="65" t="s">
        <v>51</v>
      </c>
      <c r="E12" s="76" t="s">
        <v>111</v>
      </c>
      <c r="F12" s="7" t="s">
        <v>121</v>
      </c>
      <c r="G12" s="7" t="s">
        <v>137</v>
      </c>
    </row>
    <row r="13" spans="1:8" s="7" customFormat="1" ht="12.75" x14ac:dyDescent="0.2">
      <c r="A13" s="6" t="s">
        <v>7</v>
      </c>
      <c r="C13" s="8"/>
      <c r="D13" s="8"/>
      <c r="E13" s="77"/>
    </row>
    <row r="14" spans="1:8" s="7" customFormat="1" ht="12.75" x14ac:dyDescent="0.2">
      <c r="B14" s="9" t="s">
        <v>58</v>
      </c>
      <c r="C14" s="8">
        <v>5000000</v>
      </c>
      <c r="D14" s="8">
        <v>2600000</v>
      </c>
      <c r="E14" s="77"/>
      <c r="F14" s="8">
        <f>SUM(C14:E14)</f>
        <v>7600000</v>
      </c>
      <c r="G14" s="77">
        <v>5207948.3499999996</v>
      </c>
    </row>
    <row r="15" spans="1:8" s="7" customFormat="1" ht="12.75" x14ac:dyDescent="0.2">
      <c r="B15" s="9" t="s">
        <v>59</v>
      </c>
      <c r="C15" s="8">
        <v>45000</v>
      </c>
      <c r="D15" s="8">
        <v>205000</v>
      </c>
      <c r="E15" s="79">
        <v>-40000</v>
      </c>
      <c r="F15" s="8">
        <f>SUM(C15:E15)</f>
        <v>210000</v>
      </c>
      <c r="G15" s="77">
        <v>127105.44085000001</v>
      </c>
      <c r="H15" s="78"/>
    </row>
    <row r="16" spans="1:8" s="7" customFormat="1" x14ac:dyDescent="0.25">
      <c r="B16" s="9" t="s">
        <v>60</v>
      </c>
      <c r="C16" s="8">
        <v>950887.7</v>
      </c>
      <c r="D16" s="8">
        <v>550000</v>
      </c>
      <c r="E16" s="77"/>
      <c r="F16" s="8">
        <f t="shared" ref="F16:F17" si="0">SUM(C16:E16)</f>
        <v>1500887.7</v>
      </c>
      <c r="G16" s="77">
        <v>1715516.5292999814</v>
      </c>
      <c r="H16" s="78"/>
    </row>
    <row r="17" spans="1:10" s="7" customFormat="1" ht="12.75" x14ac:dyDescent="0.2">
      <c r="B17" s="9" t="s">
        <v>61</v>
      </c>
      <c r="C17" s="10">
        <v>923558.61</v>
      </c>
      <c r="D17" s="10">
        <v>423000</v>
      </c>
      <c r="E17" s="77"/>
      <c r="F17" s="10">
        <f t="shared" si="0"/>
        <v>1346558.6099999999</v>
      </c>
      <c r="G17" s="77">
        <v>2874880.011139574</v>
      </c>
      <c r="H17" s="78"/>
    </row>
    <row r="18" spans="1:10" s="7" customFormat="1" ht="12.75" x14ac:dyDescent="0.2">
      <c r="A18" s="11"/>
      <c r="B18" s="12" t="s">
        <v>8</v>
      </c>
      <c r="C18" s="13">
        <f>SUM(C14:C17)</f>
        <v>6919446.3100000005</v>
      </c>
      <c r="D18" s="13">
        <f>SUM(D14:D17)</f>
        <v>3778000</v>
      </c>
      <c r="E18" s="77"/>
      <c r="F18" s="13">
        <f>SUM(F14:F17)</f>
        <v>10657446.309999999</v>
      </c>
      <c r="G18" s="13">
        <f>SUM(G14:G17)</f>
        <v>9925450.331289554</v>
      </c>
      <c r="H18" s="78"/>
    </row>
    <row r="19" spans="1:10" s="7" customFormat="1" ht="12.75" x14ac:dyDescent="0.2">
      <c r="A19" s="6" t="s">
        <v>9</v>
      </c>
      <c r="C19" s="8"/>
      <c r="D19" s="8"/>
      <c r="E19" s="77"/>
      <c r="G19" s="77"/>
      <c r="J19" s="78"/>
    </row>
    <row r="20" spans="1:10" s="7" customFormat="1" ht="12.75" x14ac:dyDescent="0.2">
      <c r="B20" s="9" t="s">
        <v>50</v>
      </c>
      <c r="C20" s="98">
        <v>1186800</v>
      </c>
      <c r="D20" s="10"/>
      <c r="E20" s="79">
        <v>-1186800</v>
      </c>
      <c r="F20" s="10">
        <f>SUM(C20:E20)</f>
        <v>0</v>
      </c>
      <c r="G20" s="105"/>
      <c r="J20" s="78"/>
    </row>
    <row r="21" spans="1:10" s="7" customFormat="1" ht="12.75" x14ac:dyDescent="0.2">
      <c r="A21" s="9"/>
      <c r="B21" s="12" t="s">
        <v>10</v>
      </c>
      <c r="C21" s="13">
        <f>SUM(C20)</f>
        <v>1186800</v>
      </c>
      <c r="D21" s="13">
        <f>SUM(D20)</f>
        <v>0</v>
      </c>
      <c r="E21" s="77"/>
      <c r="F21" s="8">
        <f>SUM(F20)</f>
        <v>0</v>
      </c>
      <c r="G21" s="8">
        <f>SUM(G20)</f>
        <v>0</v>
      </c>
    </row>
    <row r="22" spans="1:10" s="7" customFormat="1" ht="13.5" thickBot="1" x14ac:dyDescent="0.25">
      <c r="A22" s="21"/>
      <c r="B22" s="29" t="s">
        <v>11</v>
      </c>
      <c r="C22" s="15">
        <f>SUM(C21,C18)</f>
        <v>8106246.3100000005</v>
      </c>
      <c r="D22" s="15">
        <f>SUM(D21,D18)</f>
        <v>3778000</v>
      </c>
      <c r="E22" s="77"/>
      <c r="F22" s="15">
        <f>SUM(F21,F18)</f>
        <v>10657446.309999999</v>
      </c>
      <c r="G22" s="15">
        <f>SUM(G21,G18)</f>
        <v>9925450.331289554</v>
      </c>
    </row>
    <row r="23" spans="1:10" s="7" customFormat="1" ht="13.5" thickTop="1" x14ac:dyDescent="0.2">
      <c r="A23" s="19"/>
      <c r="B23" s="4"/>
      <c r="C23" s="74"/>
      <c r="D23" s="74"/>
      <c r="E23" s="77"/>
      <c r="G23" s="77"/>
      <c r="J23" s="77"/>
    </row>
    <row r="24" spans="1:10" s="7" customFormat="1" ht="12.75" x14ac:dyDescent="0.2">
      <c r="A24" s="17" t="s">
        <v>3</v>
      </c>
      <c r="B24" s="4"/>
      <c r="C24" s="5"/>
      <c r="D24" s="5"/>
      <c r="E24" s="77"/>
      <c r="G24" s="77"/>
    </row>
    <row r="25" spans="1:10" s="7" customFormat="1" ht="12.75" x14ac:dyDescent="0.2">
      <c r="A25" s="18" t="s">
        <v>12</v>
      </c>
      <c r="C25" s="8"/>
      <c r="D25" s="8"/>
      <c r="E25" s="77"/>
      <c r="G25" s="77"/>
    </row>
    <row r="26" spans="1:10" s="7" customFormat="1" ht="12.75" x14ac:dyDescent="0.2">
      <c r="A26" s="19"/>
      <c r="B26" s="9" t="s">
        <v>62</v>
      </c>
      <c r="C26" s="20">
        <f>3050000+849471.23</f>
        <v>3899471.23</v>
      </c>
      <c r="D26" s="20">
        <v>1030000</v>
      </c>
      <c r="E26" s="79">
        <v>-40000</v>
      </c>
      <c r="F26" s="8">
        <f>SUM(C26:E26)</f>
        <v>4889471.2300000004</v>
      </c>
      <c r="G26" s="77">
        <v>5958781.21</v>
      </c>
      <c r="H26" s="78"/>
      <c r="J26" s="8"/>
    </row>
    <row r="27" spans="1:10" s="7" customFormat="1" ht="12.75" x14ac:dyDescent="0.2">
      <c r="A27" s="19"/>
      <c r="B27" s="9" t="s">
        <v>63</v>
      </c>
      <c r="C27" s="20">
        <v>273900.18</v>
      </c>
      <c r="D27" s="20">
        <v>520000</v>
      </c>
      <c r="E27" s="77"/>
      <c r="F27" s="8">
        <f t="shared" ref="F27:F28" si="1">SUM(C27:E27)</f>
        <v>793900.17999999993</v>
      </c>
      <c r="G27" s="77">
        <v>384149.63597548613</v>
      </c>
      <c r="H27" s="78"/>
    </row>
    <row r="28" spans="1:10" s="7" customFormat="1" ht="12.75" x14ac:dyDescent="0.2">
      <c r="A28" s="19"/>
      <c r="B28" s="21" t="s">
        <v>64</v>
      </c>
      <c r="C28" s="10">
        <v>0</v>
      </c>
      <c r="D28" s="10">
        <v>0</v>
      </c>
      <c r="E28" s="77"/>
      <c r="F28" s="10">
        <f t="shared" si="1"/>
        <v>0</v>
      </c>
      <c r="G28" s="77">
        <v>102105.44085</v>
      </c>
      <c r="H28" s="78"/>
      <c r="J28" s="78"/>
    </row>
    <row r="29" spans="1:10" s="7" customFormat="1" ht="12.75" x14ac:dyDescent="0.2">
      <c r="A29" s="22"/>
      <c r="B29" s="12" t="s">
        <v>13</v>
      </c>
      <c r="C29" s="13">
        <f>SUM(C26:C28)</f>
        <v>4173371.41</v>
      </c>
      <c r="D29" s="13">
        <f>SUM(D26:D28)</f>
        <v>1550000</v>
      </c>
      <c r="E29" s="77"/>
      <c r="F29" s="13">
        <f>SUM(F26:F28)</f>
        <v>5683371.4100000001</v>
      </c>
      <c r="G29" s="13">
        <f>SUM(G26:G28)</f>
        <v>6445036.2868254865</v>
      </c>
      <c r="H29" s="78"/>
    </row>
    <row r="30" spans="1:10" s="7" customFormat="1" ht="12.75" x14ac:dyDescent="0.2">
      <c r="A30" s="18" t="s">
        <v>14</v>
      </c>
      <c r="C30" s="20"/>
      <c r="D30" s="20"/>
      <c r="E30" s="77"/>
      <c r="G30" s="77"/>
    </row>
    <row r="31" spans="1:10" s="7" customFormat="1" ht="12.75" x14ac:dyDescent="0.2">
      <c r="A31" s="19"/>
      <c r="B31" s="9" t="s">
        <v>15</v>
      </c>
      <c r="C31" s="23">
        <v>0</v>
      </c>
      <c r="D31" s="23">
        <v>0</v>
      </c>
      <c r="E31" s="77"/>
      <c r="G31" s="77"/>
    </row>
    <row r="32" spans="1:10" s="7" customFormat="1" ht="12.75" x14ac:dyDescent="0.2">
      <c r="A32" s="24"/>
      <c r="B32" s="12" t="s">
        <v>16</v>
      </c>
      <c r="C32" s="13">
        <f>SUM(C31)</f>
        <v>0</v>
      </c>
      <c r="D32" s="13">
        <f>SUM(D31)</f>
        <v>0</v>
      </c>
      <c r="E32" s="77"/>
      <c r="G32" s="77"/>
    </row>
    <row r="33" spans="1:11" s="7" customFormat="1" ht="12.75" x14ac:dyDescent="0.2">
      <c r="A33" s="24"/>
      <c r="B33" s="14" t="s">
        <v>17</v>
      </c>
      <c r="C33" s="13">
        <f>SUM(C32,C29)</f>
        <v>4173371.41</v>
      </c>
      <c r="D33" s="13">
        <f>SUM(D32,D29)</f>
        <v>1550000</v>
      </c>
      <c r="E33" s="77"/>
      <c r="F33" s="13">
        <f>SUM(F32,F29)</f>
        <v>5683371.4100000001</v>
      </c>
      <c r="G33" s="13">
        <f>SUM(G32,G29)</f>
        <v>6445036.2868254865</v>
      </c>
    </row>
    <row r="34" spans="1:11" s="7" customFormat="1" ht="12.75" x14ac:dyDescent="0.2">
      <c r="A34" s="24"/>
      <c r="B34" s="14"/>
      <c r="C34" s="73"/>
      <c r="D34" s="73"/>
      <c r="E34" s="77"/>
      <c r="G34" s="77"/>
    </row>
    <row r="35" spans="1:11" s="7" customFormat="1" ht="12.75" x14ac:dyDescent="0.2">
      <c r="A35" s="24"/>
      <c r="B35" s="14" t="s">
        <v>112</v>
      </c>
      <c r="C35" s="20"/>
      <c r="D35" s="20"/>
      <c r="E35" s="79">
        <v>811200</v>
      </c>
      <c r="F35" s="77">
        <f>SUM(E35)</f>
        <v>811200</v>
      </c>
      <c r="G35" s="77">
        <v>646314.15199999989</v>
      </c>
      <c r="H35" s="77"/>
    </row>
    <row r="36" spans="1:11" s="7" customFormat="1" ht="12.75" x14ac:dyDescent="0.2">
      <c r="A36" s="24"/>
      <c r="B36" s="14"/>
      <c r="C36" s="20"/>
      <c r="D36" s="20"/>
      <c r="E36" s="77"/>
      <c r="G36" s="77"/>
    </row>
    <row r="37" spans="1:11" s="7" customFormat="1" ht="12.75" x14ac:dyDescent="0.2">
      <c r="A37" s="17" t="s">
        <v>4</v>
      </c>
      <c r="B37" s="8"/>
      <c r="C37" s="10"/>
      <c r="D37" s="10"/>
      <c r="E37" s="77"/>
      <c r="F37" s="82"/>
      <c r="G37" s="105"/>
    </row>
    <row r="38" spans="1:11" s="7" customFormat="1" x14ac:dyDescent="0.25">
      <c r="A38" s="25"/>
      <c r="B38" s="26" t="s">
        <v>18</v>
      </c>
      <c r="C38" s="10">
        <f>+C22-C33</f>
        <v>3932874.9000000004</v>
      </c>
      <c r="D38" s="10">
        <f>+D22-D33</f>
        <v>2228000</v>
      </c>
      <c r="E38" s="77">
        <v>-2228000</v>
      </c>
      <c r="F38" s="8">
        <f>SUM(C38:E38)</f>
        <v>3932874.9000000004</v>
      </c>
      <c r="G38" s="10">
        <f>+G22-G33-G35</f>
        <v>2834099.8924640678</v>
      </c>
    </row>
    <row r="39" spans="1:11" s="7" customFormat="1" ht="13.5" thickBot="1" x14ac:dyDescent="0.25">
      <c r="A39" s="25"/>
      <c r="B39" s="12" t="s">
        <v>19</v>
      </c>
      <c r="C39" s="15">
        <f>+C29+C38</f>
        <v>8106246.3100000005</v>
      </c>
      <c r="D39" s="15">
        <f>+D29+D38</f>
        <v>3778000</v>
      </c>
      <c r="E39" s="77"/>
      <c r="F39" s="15">
        <f>+F33++F35+F38</f>
        <v>10427446.310000001</v>
      </c>
      <c r="G39" s="15">
        <f>+G33+G35+G38</f>
        <v>9925450.331289554</v>
      </c>
    </row>
    <row r="40" spans="1:11" s="7" customFormat="1" ht="13.5" thickTop="1" x14ac:dyDescent="0.2">
      <c r="E40" s="77"/>
    </row>
    <row r="45" spans="1:11" s="7" customFormat="1" x14ac:dyDescent="0.25">
      <c r="A45" s="32"/>
      <c r="C45" s="75" t="s">
        <v>51</v>
      </c>
      <c r="D45" s="75" t="s">
        <v>1</v>
      </c>
      <c r="E45" s="76" t="s">
        <v>71</v>
      </c>
      <c r="F45" s="75" t="s">
        <v>72</v>
      </c>
    </row>
    <row r="46" spans="1:11" s="7" customFormat="1" x14ac:dyDescent="0.25">
      <c r="A46" s="32"/>
      <c r="C46" s="65" t="s">
        <v>99</v>
      </c>
      <c r="D46" s="65" t="s">
        <v>99</v>
      </c>
      <c r="E46" s="77"/>
      <c r="F46" s="84">
        <v>2023</v>
      </c>
    </row>
    <row r="47" spans="1:11" s="7" customFormat="1" ht="12.75" x14ac:dyDescent="0.2">
      <c r="A47" s="6" t="s">
        <v>56</v>
      </c>
      <c r="B47" s="12"/>
      <c r="C47" s="33">
        <v>22163786.969999999</v>
      </c>
      <c r="D47" s="33">
        <v>6500000</v>
      </c>
      <c r="E47" s="79">
        <v>-40000</v>
      </c>
      <c r="F47" s="81">
        <f>SUM(C47:E47)</f>
        <v>28623786.969999999</v>
      </c>
      <c r="H47" s="78"/>
    </row>
    <row r="48" spans="1:11" s="7" customFormat="1" ht="12.75" x14ac:dyDescent="0.2">
      <c r="A48" s="6" t="s">
        <v>57</v>
      </c>
      <c r="B48" s="12"/>
      <c r="C48" s="34">
        <v>-17361664.510000002</v>
      </c>
      <c r="D48" s="34">
        <v>-4300000</v>
      </c>
      <c r="E48" s="79">
        <v>40000</v>
      </c>
      <c r="F48" s="34">
        <f>SUM(C48:E48)</f>
        <v>-21621664.510000002</v>
      </c>
      <c r="I48" s="77"/>
      <c r="J48" s="77"/>
      <c r="K48" s="81"/>
    </row>
    <row r="49" spans="1:11" s="7" customFormat="1" ht="12.75" x14ac:dyDescent="0.2">
      <c r="B49" s="36" t="s">
        <v>20</v>
      </c>
      <c r="C49" s="33">
        <f>SUM(C47:C48)</f>
        <v>4802122.4599999972</v>
      </c>
      <c r="D49" s="33">
        <f>SUM(D47:D48)</f>
        <v>2200000</v>
      </c>
      <c r="E49" s="77"/>
      <c r="F49" s="81">
        <f>SUM(F47:F48)</f>
        <v>7002122.4599999972</v>
      </c>
      <c r="I49" s="77"/>
      <c r="J49" s="8"/>
      <c r="K49" s="77"/>
    </row>
    <row r="50" spans="1:11" s="7" customFormat="1" ht="12.75" x14ac:dyDescent="0.2">
      <c r="A50" s="32"/>
      <c r="C50" s="33"/>
      <c r="D50" s="33"/>
      <c r="E50" s="77"/>
      <c r="I50" s="77"/>
      <c r="J50" s="77"/>
      <c r="K50" s="8"/>
    </row>
    <row r="51" spans="1:11" s="7" customFormat="1" ht="12.75" x14ac:dyDescent="0.2">
      <c r="A51" s="6" t="s">
        <v>100</v>
      </c>
      <c r="C51" s="33"/>
      <c r="D51" s="33"/>
      <c r="E51" s="77"/>
      <c r="I51" s="8"/>
      <c r="J51" s="8"/>
      <c r="K51" s="81"/>
    </row>
    <row r="52" spans="1:11" s="7" customFormat="1" x14ac:dyDescent="0.25">
      <c r="B52" s="32" t="s">
        <v>21</v>
      </c>
      <c r="C52" s="33">
        <v>-1405943.33</v>
      </c>
      <c r="D52" s="33">
        <v>-320000</v>
      </c>
      <c r="E52" s="77"/>
      <c r="F52" s="81">
        <f>SUM(C52:E52)</f>
        <v>-1725943.33</v>
      </c>
    </row>
    <row r="53" spans="1:11" s="7" customFormat="1" ht="12.75" x14ac:dyDescent="0.2">
      <c r="B53" s="32" t="s">
        <v>101</v>
      </c>
      <c r="C53" s="33">
        <v>-356000</v>
      </c>
      <c r="D53" s="33">
        <v>-230000</v>
      </c>
      <c r="E53" s="77"/>
      <c r="F53" s="81">
        <f t="shared" ref="F53:F56" si="2">SUM(C53:E53)</f>
        <v>-586000</v>
      </c>
    </row>
    <row r="54" spans="1:11" s="7" customFormat="1" x14ac:dyDescent="0.25">
      <c r="B54" s="32" t="s">
        <v>22</v>
      </c>
      <c r="C54" s="33">
        <v>-877158.75</v>
      </c>
      <c r="D54" s="33">
        <v>-360000</v>
      </c>
      <c r="E54" s="77"/>
      <c r="F54" s="81">
        <f t="shared" si="2"/>
        <v>-1237158.75</v>
      </c>
    </row>
    <row r="55" spans="1:11" s="7" customFormat="1" x14ac:dyDescent="0.25">
      <c r="B55" s="32" t="s">
        <v>23</v>
      </c>
      <c r="C55" s="33">
        <v>-482087.61</v>
      </c>
      <c r="D55" s="33">
        <v>-280000</v>
      </c>
      <c r="E55" s="77"/>
      <c r="F55" s="81">
        <f t="shared" si="2"/>
        <v>-762087.61</v>
      </c>
      <c r="H55" s="78"/>
      <c r="I55" s="77"/>
    </row>
    <row r="56" spans="1:11" s="7" customFormat="1" x14ac:dyDescent="0.25">
      <c r="B56" s="32" t="s">
        <v>24</v>
      </c>
      <c r="C56" s="34">
        <v>-484064.99</v>
      </c>
      <c r="D56" s="34">
        <v>-56000</v>
      </c>
      <c r="E56" s="77"/>
      <c r="F56" s="34">
        <f t="shared" si="2"/>
        <v>-540064.99</v>
      </c>
    </row>
    <row r="57" spans="1:11" s="7" customFormat="1" x14ac:dyDescent="0.25">
      <c r="B57" s="36" t="s">
        <v>20</v>
      </c>
      <c r="C57" s="33">
        <f>SUM(C49:C56)</f>
        <v>1196867.7799999972</v>
      </c>
      <c r="D57" s="33">
        <f>SUM(D49:D56)</f>
        <v>954000</v>
      </c>
      <c r="E57" s="77"/>
      <c r="F57" s="81">
        <f>SUM(F49:F56)</f>
        <v>2150867.7799999975</v>
      </c>
    </row>
    <row r="58" spans="1:11" s="7" customFormat="1" x14ac:dyDescent="0.25">
      <c r="A58" s="6" t="s">
        <v>25</v>
      </c>
      <c r="B58" s="32"/>
      <c r="C58" s="33"/>
      <c r="D58" s="33"/>
      <c r="E58" s="77"/>
    </row>
    <row r="59" spans="1:11" s="7" customFormat="1" x14ac:dyDescent="0.25">
      <c r="A59" s="6"/>
      <c r="C59" s="33"/>
      <c r="D59" s="33"/>
      <c r="E59" s="77"/>
    </row>
    <row r="60" spans="1:11" s="7" customFormat="1" x14ac:dyDescent="0.25">
      <c r="B60" s="32" t="s">
        <v>55</v>
      </c>
      <c r="C60" s="34">
        <v>337328.772</v>
      </c>
      <c r="D60" s="34">
        <v>0</v>
      </c>
      <c r="E60" s="79">
        <v>-337328.77</v>
      </c>
      <c r="F60" s="34">
        <f>SUM(C60:E60)</f>
        <v>1.9999999785795808E-3</v>
      </c>
    </row>
    <row r="61" spans="1:11" s="7" customFormat="1" x14ac:dyDescent="0.25">
      <c r="A61" s="32"/>
      <c r="B61" s="32"/>
      <c r="E61" s="77"/>
    </row>
    <row r="62" spans="1:11" s="7" customFormat="1" ht="26.4" x14ac:dyDescent="0.25">
      <c r="A62" s="6"/>
      <c r="B62" s="37" t="s">
        <v>26</v>
      </c>
      <c r="C62" s="33">
        <f>SUM(C57:C60)</f>
        <v>1534196.5519999973</v>
      </c>
      <c r="D62" s="33">
        <f>SUM(D57:D60)</f>
        <v>954000</v>
      </c>
      <c r="E62" s="77"/>
      <c r="F62" s="81">
        <f>SUM(F57:F60)</f>
        <v>2150867.7819999973</v>
      </c>
    </row>
    <row r="63" spans="1:11" s="7" customFormat="1" x14ac:dyDescent="0.25">
      <c r="C63" s="33"/>
      <c r="D63" s="33"/>
      <c r="E63" s="77"/>
    </row>
    <row r="64" spans="1:11" s="7" customFormat="1" x14ac:dyDescent="0.25">
      <c r="B64" s="32" t="s">
        <v>27</v>
      </c>
      <c r="C64" s="33">
        <v>-435421.54</v>
      </c>
      <c r="D64" s="33">
        <v>-391785.38</v>
      </c>
      <c r="E64" s="77"/>
      <c r="F64" s="81">
        <f>SUM(C64:E64)</f>
        <v>-827206.91999999993</v>
      </c>
    </row>
    <row r="65" spans="1:13" x14ac:dyDescent="0.25">
      <c r="A65" s="32"/>
      <c r="B65" s="32"/>
      <c r="C65" s="33"/>
      <c r="D65" s="33"/>
      <c r="F65" s="82"/>
    </row>
    <row r="66" spans="1:13" ht="13.8" thickBot="1" x14ac:dyDescent="0.3">
      <c r="A66" s="6"/>
      <c r="B66" s="32" t="s">
        <v>28</v>
      </c>
      <c r="C66" s="35">
        <f>SUM(C62:C64)</f>
        <v>1098775.0119999973</v>
      </c>
      <c r="D66" s="35">
        <f>SUM(D62:D65)</f>
        <v>562214.62</v>
      </c>
      <c r="F66" s="35">
        <f>SUM(F62:F64)</f>
        <v>1323660.8619999974</v>
      </c>
    </row>
    <row r="67" spans="1:13" ht="13.8" thickTop="1" x14ac:dyDescent="0.25"/>
    <row r="68" spans="1:13" x14ac:dyDescent="0.25">
      <c r="B68" s="14" t="s">
        <v>112</v>
      </c>
      <c r="F68" s="83">
        <v>-224885.848</v>
      </c>
    </row>
    <row r="69" spans="1:13" ht="13.8" thickBot="1" x14ac:dyDescent="0.3">
      <c r="F69" s="35">
        <f>SUM(F66:F68)</f>
        <v>1098775.0139999974</v>
      </c>
    </row>
    <row r="70" spans="1:13" ht="13.8" thickTop="1" x14ac:dyDescent="0.25"/>
    <row r="73" spans="1:13" x14ac:dyDescent="0.25">
      <c r="G73" s="4"/>
      <c r="H73" s="4"/>
      <c r="I73" s="4"/>
      <c r="J73" s="4"/>
    </row>
    <row r="74" spans="1:13" ht="14.4" x14ac:dyDescent="0.3">
      <c r="A74" s="112" t="s">
        <v>135</v>
      </c>
      <c r="B74" s="112"/>
      <c r="C74" s="112"/>
      <c r="D74" s="112"/>
      <c r="E74" s="112"/>
      <c r="F74" s="112"/>
      <c r="G74" s="4"/>
      <c r="H74" s="112" t="s">
        <v>136</v>
      </c>
      <c r="I74" s="112"/>
      <c r="J74" s="112"/>
      <c r="K74" s="112"/>
      <c r="L74" s="112"/>
      <c r="M74" s="112"/>
    </row>
    <row r="75" spans="1:13" ht="14.4" x14ac:dyDescent="0.3">
      <c r="C75" s="75" t="s">
        <v>51</v>
      </c>
      <c r="D75" s="101" t="s">
        <v>1</v>
      </c>
      <c r="E75" s="85" t="s">
        <v>71</v>
      </c>
      <c r="F75" s="75" t="s">
        <v>72</v>
      </c>
      <c r="G75" s="86"/>
      <c r="J75" s="101" t="s">
        <v>51</v>
      </c>
      <c r="K75" s="101" t="s">
        <v>1</v>
      </c>
      <c r="L75" s="85" t="s">
        <v>71</v>
      </c>
      <c r="M75" s="75" t="s">
        <v>72</v>
      </c>
    </row>
    <row r="76" spans="1:13" ht="14.4" x14ac:dyDescent="0.3">
      <c r="C76" s="65" t="s">
        <v>99</v>
      </c>
      <c r="D76" s="65" t="s">
        <v>99</v>
      </c>
      <c r="F76" s="84">
        <v>2023</v>
      </c>
      <c r="G76" s="4"/>
      <c r="J76" s="65" t="s">
        <v>99</v>
      </c>
      <c r="K76" s="65" t="s">
        <v>99</v>
      </c>
      <c r="L76" s="1"/>
      <c r="M76" s="65" t="s">
        <v>99</v>
      </c>
    </row>
    <row r="77" spans="1:13" ht="14.4" x14ac:dyDescent="0.3">
      <c r="A77" s="44" t="s">
        <v>43</v>
      </c>
      <c r="C77" s="8"/>
      <c r="D77" s="8"/>
      <c r="G77" s="4"/>
      <c r="H77" s="44" t="s">
        <v>43</v>
      </c>
      <c r="J77" s="8"/>
      <c r="K77" s="8"/>
      <c r="L77" s="1"/>
    </row>
    <row r="78" spans="1:13" ht="14.4" x14ac:dyDescent="0.3">
      <c r="B78" s="45" t="s">
        <v>44</v>
      </c>
      <c r="C78" s="8">
        <v>2207948.35</v>
      </c>
      <c r="D78" s="8">
        <v>3000000</v>
      </c>
      <c r="F78" s="8">
        <f>SUM(C78:E78)</f>
        <v>5207948.3499999996</v>
      </c>
      <c r="G78" s="4"/>
      <c r="I78" s="45" t="s">
        <v>44</v>
      </c>
      <c r="J78" s="8">
        <v>2207948.35</v>
      </c>
      <c r="K78" s="8">
        <v>3000000</v>
      </c>
      <c r="L78" s="1"/>
      <c r="M78" s="8">
        <f>SUM(J78:L78)</f>
        <v>5207948.3499999996</v>
      </c>
    </row>
    <row r="79" spans="1:13" ht="14.4" x14ac:dyDescent="0.3">
      <c r="B79" s="45" t="s">
        <v>45</v>
      </c>
      <c r="C79" s="10">
        <v>5000000</v>
      </c>
      <c r="D79" s="10">
        <v>2600000</v>
      </c>
      <c r="F79" s="8">
        <f>SUM(C79:E79)</f>
        <v>7600000</v>
      </c>
      <c r="G79" s="87"/>
      <c r="I79" s="45" t="s">
        <v>45</v>
      </c>
      <c r="J79" s="10">
        <v>5000000</v>
      </c>
      <c r="K79" s="10">
        <v>2600000</v>
      </c>
      <c r="L79" s="1"/>
      <c r="M79" s="8">
        <f>SUM(J79:L79)</f>
        <v>7600000</v>
      </c>
    </row>
    <row r="80" spans="1:13" ht="15" thickBot="1" x14ac:dyDescent="0.35">
      <c r="B80" s="45" t="s">
        <v>46</v>
      </c>
      <c r="C80" s="15">
        <f>-C78+C79</f>
        <v>2792051.65</v>
      </c>
      <c r="D80" s="15">
        <f>-D78+D79</f>
        <v>-400000</v>
      </c>
      <c r="F80" s="15">
        <f>-F78+F79</f>
        <v>2392051.6500000004</v>
      </c>
      <c r="G80" s="86"/>
      <c r="I80" s="45" t="s">
        <v>46</v>
      </c>
      <c r="J80" s="15">
        <f>-J78+J79</f>
        <v>2792051.65</v>
      </c>
      <c r="K80" s="15">
        <f>-K78+K79</f>
        <v>-400000</v>
      </c>
      <c r="L80" s="1"/>
      <c r="M80" s="15">
        <f>-M78+M79</f>
        <v>2392051.6500000004</v>
      </c>
    </row>
    <row r="81" spans="1:13" ht="15" thickTop="1" x14ac:dyDescent="0.3">
      <c r="A81" s="45"/>
      <c r="C81" s="8"/>
      <c r="D81" s="8"/>
      <c r="G81" s="88"/>
      <c r="H81" s="45"/>
      <c r="J81" s="8"/>
      <c r="K81" s="8"/>
      <c r="L81" s="1"/>
    </row>
    <row r="82" spans="1:13" ht="14.4" x14ac:dyDescent="0.3">
      <c r="A82" s="44" t="s">
        <v>47</v>
      </c>
      <c r="C82" s="8"/>
      <c r="D82" s="8"/>
      <c r="G82" s="89"/>
      <c r="H82" s="44" t="s">
        <v>47</v>
      </c>
      <c r="J82" s="8"/>
      <c r="K82" s="8"/>
      <c r="L82" s="1"/>
    </row>
    <row r="83" spans="1:13" ht="15.6" x14ac:dyDescent="0.4">
      <c r="A83" s="46" t="s">
        <v>0</v>
      </c>
      <c r="C83" s="40"/>
      <c r="D83" s="40"/>
      <c r="G83" s="4"/>
      <c r="H83" s="46" t="s">
        <v>0</v>
      </c>
      <c r="J83" s="40"/>
      <c r="K83" s="40"/>
      <c r="L83" s="1"/>
    </row>
    <row r="84" spans="1:13" ht="14.4" x14ac:dyDescent="0.3">
      <c r="A84" s="41"/>
      <c r="C84" s="8"/>
      <c r="D84" s="8"/>
      <c r="G84" s="90"/>
      <c r="H84" s="41"/>
      <c r="J84" s="8"/>
      <c r="K84" s="8"/>
      <c r="L84" s="1"/>
    </row>
    <row r="85" spans="1:13" ht="14.4" x14ac:dyDescent="0.3">
      <c r="B85" s="41" t="s">
        <v>31</v>
      </c>
      <c r="C85" s="8"/>
      <c r="D85" s="8"/>
      <c r="G85" s="90"/>
      <c r="I85" s="102" t="s">
        <v>28</v>
      </c>
      <c r="J85" s="8">
        <v>1098775.01</v>
      </c>
      <c r="K85" s="8">
        <v>562214.62</v>
      </c>
      <c r="L85" s="1"/>
      <c r="M85" s="8">
        <f>SUM(J85:L85)</f>
        <v>1660989.63</v>
      </c>
    </row>
    <row r="86" spans="1:13" ht="14.4" x14ac:dyDescent="0.3">
      <c r="A86" s="42" t="s">
        <v>32</v>
      </c>
      <c r="C86" s="8">
        <v>22193786.969999999</v>
      </c>
      <c r="D86" s="8">
        <v>6397105.4400000004</v>
      </c>
      <c r="E86" s="79">
        <v>-40000</v>
      </c>
      <c r="F86" s="8">
        <f>SUM(C86:E86)</f>
        <v>28550892.41</v>
      </c>
      <c r="G86" s="4"/>
      <c r="H86" s="42"/>
      <c r="I86" s="41" t="s">
        <v>125</v>
      </c>
      <c r="J86" s="8">
        <v>-120000</v>
      </c>
      <c r="K86" s="8"/>
      <c r="L86" s="60">
        <v>120000</v>
      </c>
      <c r="M86" s="8">
        <f>SUM(J86:L86)</f>
        <v>0</v>
      </c>
    </row>
    <row r="87" spans="1:13" ht="14.4" x14ac:dyDescent="0.3">
      <c r="A87" s="42"/>
      <c r="B87" s="7" t="s">
        <v>34</v>
      </c>
      <c r="C87" s="13">
        <f>SUM(C86:C86)</f>
        <v>22193786.969999999</v>
      </c>
      <c r="D87" s="13">
        <f>SUM(D86:D86)</f>
        <v>6397105.4400000004</v>
      </c>
      <c r="F87" s="13">
        <f>SUM(F86:F86)</f>
        <v>28550892.41</v>
      </c>
      <c r="G87" s="91"/>
      <c r="H87" s="42"/>
      <c r="I87" s="103" t="s">
        <v>124</v>
      </c>
      <c r="J87" s="8"/>
      <c r="K87" s="20"/>
      <c r="L87" s="1"/>
    </row>
    <row r="88" spans="1:13" ht="14.4" x14ac:dyDescent="0.3">
      <c r="C88" s="8"/>
      <c r="D88" s="8"/>
      <c r="G88" s="90"/>
      <c r="I88" s="7" t="s">
        <v>127</v>
      </c>
      <c r="J88" s="20">
        <v>30000</v>
      </c>
      <c r="K88" s="8">
        <v>-102894.55915</v>
      </c>
      <c r="L88" s="60">
        <v>-40000</v>
      </c>
      <c r="M88" s="8">
        <f>SUM(J88:L88)</f>
        <v>-112894.55915</v>
      </c>
    </row>
    <row r="89" spans="1:13" ht="14.4" x14ac:dyDescent="0.3">
      <c r="A89" s="43"/>
      <c r="B89" s="41" t="s">
        <v>35</v>
      </c>
      <c r="C89" s="8"/>
      <c r="D89" s="8"/>
      <c r="G89" s="90"/>
      <c r="H89" s="43"/>
      <c r="I89" s="7" t="s">
        <v>128</v>
      </c>
      <c r="J89" s="8">
        <v>-71776.969999999972</v>
      </c>
      <c r="K89" s="8">
        <v>286405.79929998133</v>
      </c>
      <c r="L89" s="1"/>
      <c r="M89" s="8">
        <f t="shared" ref="M89:M95" si="3">SUM(J89:L89)</f>
        <v>214628.82929998136</v>
      </c>
    </row>
    <row r="90" spans="1:13" ht="14.4" x14ac:dyDescent="0.3">
      <c r="A90" s="42" t="s">
        <v>36</v>
      </c>
      <c r="C90" s="8">
        <v>15542314.720000003</v>
      </c>
      <c r="D90" s="8">
        <v>5220338.3688604301</v>
      </c>
      <c r="E90" s="79">
        <v>-40000</v>
      </c>
      <c r="F90" s="8">
        <f>SUM(C90:E90)</f>
        <v>20722653.088860434</v>
      </c>
      <c r="G90" s="90"/>
      <c r="H90" s="42"/>
      <c r="I90" s="104" t="s">
        <v>129</v>
      </c>
      <c r="J90" s="8">
        <v>2002110.1600000001</v>
      </c>
      <c r="K90" s="8">
        <v>-223788.75886042599</v>
      </c>
      <c r="L90" s="1"/>
      <c r="M90" s="8">
        <f t="shared" si="3"/>
        <v>1778321.4011395741</v>
      </c>
    </row>
    <row r="91" spans="1:13" ht="14.4" x14ac:dyDescent="0.3">
      <c r="A91" s="42" t="s">
        <v>104</v>
      </c>
      <c r="C91" s="8">
        <v>356000</v>
      </c>
      <c r="D91" s="8">
        <v>230000</v>
      </c>
      <c r="F91" s="8">
        <f t="shared" ref="F91:F95" si="4">SUM(C91:E91)</f>
        <v>586000</v>
      </c>
      <c r="G91" s="90"/>
      <c r="H91" s="42"/>
      <c r="I91" s="7" t="s">
        <v>130</v>
      </c>
      <c r="J91" s="8">
        <v>-182760.37000000011</v>
      </c>
      <c r="K91" s="8">
        <v>-696549.60999999987</v>
      </c>
      <c r="L91" s="60">
        <v>40000</v>
      </c>
      <c r="M91" s="8">
        <f t="shared" si="3"/>
        <v>-839309.98</v>
      </c>
    </row>
    <row r="92" spans="1:13" ht="14.4" x14ac:dyDescent="0.3">
      <c r="A92" s="42" t="s">
        <v>37</v>
      </c>
      <c r="C92" s="8">
        <v>1405943.33</v>
      </c>
      <c r="D92" s="8">
        <v>320000</v>
      </c>
      <c r="F92" s="8">
        <f t="shared" si="4"/>
        <v>1725943.33</v>
      </c>
      <c r="G92" s="90"/>
      <c r="H92" s="42"/>
      <c r="I92" s="7" t="s">
        <v>131</v>
      </c>
      <c r="J92" s="8">
        <v>133032.59</v>
      </c>
      <c r="K92" s="8">
        <v>76717.954024513863</v>
      </c>
      <c r="L92" s="1"/>
      <c r="M92" s="8">
        <f t="shared" si="3"/>
        <v>209750.54402451386</v>
      </c>
    </row>
    <row r="93" spans="1:13" ht="14.4" x14ac:dyDescent="0.3">
      <c r="A93" s="42" t="s">
        <v>38</v>
      </c>
      <c r="C93" s="8">
        <v>858230.90999999992</v>
      </c>
      <c r="D93" s="8">
        <v>84661.626675504842</v>
      </c>
      <c r="F93" s="8">
        <f t="shared" si="4"/>
        <v>942892.53667550476</v>
      </c>
      <c r="G93" s="90"/>
      <c r="H93" s="42"/>
      <c r="I93" s="7" t="s">
        <v>126</v>
      </c>
      <c r="J93" s="8">
        <v>-217328.77199999988</v>
      </c>
      <c r="K93" s="8">
        <v>0</v>
      </c>
      <c r="L93" s="60">
        <v>-120000</v>
      </c>
      <c r="M93" s="8">
        <f t="shared" si="3"/>
        <v>-337328.77199999988</v>
      </c>
    </row>
    <row r="94" spans="1:13" ht="14.4" x14ac:dyDescent="0.3">
      <c r="A94" s="42" t="s">
        <v>39</v>
      </c>
      <c r="C94" s="8">
        <v>482087.61</v>
      </c>
      <c r="D94" s="8">
        <v>280000</v>
      </c>
      <c r="F94" s="8">
        <f t="shared" si="4"/>
        <v>762087.61</v>
      </c>
      <c r="G94" s="90"/>
      <c r="H94" s="42"/>
      <c r="I94" s="7" t="s">
        <v>132</v>
      </c>
      <c r="J94" s="8">
        <v>0</v>
      </c>
      <c r="K94" s="8">
        <v>-102105.44085</v>
      </c>
      <c r="L94" s="1"/>
      <c r="M94" s="8">
        <f t="shared" si="3"/>
        <v>-102105.44085</v>
      </c>
    </row>
    <row r="95" spans="1:13" ht="14.4" x14ac:dyDescent="0.3">
      <c r="A95" s="42" t="s">
        <v>40</v>
      </c>
      <c r="C95" s="8">
        <v>877158.75</v>
      </c>
      <c r="D95" s="8">
        <v>462105.44085000001</v>
      </c>
      <c r="F95" s="8">
        <f t="shared" si="4"/>
        <v>1339264.1908499999</v>
      </c>
      <c r="G95" s="21"/>
      <c r="H95" s="42"/>
      <c r="J95" s="8"/>
      <c r="K95" s="8"/>
      <c r="L95" s="1"/>
      <c r="M95" s="8">
        <f t="shared" si="3"/>
        <v>0</v>
      </c>
    </row>
    <row r="96" spans="1:13" ht="14.4" x14ac:dyDescent="0.3">
      <c r="A96" s="42"/>
      <c r="B96" s="7" t="s">
        <v>42</v>
      </c>
      <c r="C96" s="13">
        <f>-SUM(C90:C95)</f>
        <v>-19521735.320000004</v>
      </c>
      <c r="D96" s="13">
        <f>-SUM(D90:D95)</f>
        <v>-6597105.4363859352</v>
      </c>
      <c r="F96" s="13">
        <f>-SUM(F90:F95)</f>
        <v>-26078840.756385941</v>
      </c>
      <c r="G96" s="21"/>
      <c r="H96" s="42"/>
      <c r="I96" s="9" t="s">
        <v>48</v>
      </c>
      <c r="J96" s="31"/>
      <c r="K96" s="31"/>
      <c r="L96" s="1"/>
    </row>
    <row r="97" spans="1:13" ht="14.4" x14ac:dyDescent="0.3">
      <c r="A97" s="9"/>
      <c r="B97" s="9" t="s">
        <v>48</v>
      </c>
      <c r="D97" s="31"/>
      <c r="G97" s="4"/>
      <c r="H97" s="9"/>
      <c r="I97" s="9" t="s">
        <v>49</v>
      </c>
      <c r="J97" s="48">
        <f>SUM(J85:J95)</f>
        <v>2672051.648</v>
      </c>
      <c r="K97" s="48">
        <f>SUM(K85:K94)</f>
        <v>-199999.99553593068</v>
      </c>
      <c r="L97" s="1"/>
      <c r="M97" s="48">
        <f>SUM(M85:M94)</f>
        <v>2472051.6524640694</v>
      </c>
    </row>
    <row r="98" spans="1:13" ht="14.4" x14ac:dyDescent="0.3">
      <c r="A98" s="9"/>
      <c r="B98" s="9" t="s">
        <v>49</v>
      </c>
      <c r="C98" s="48">
        <f>+C87+C96</f>
        <v>2672051.6499999948</v>
      </c>
      <c r="D98" s="48">
        <f>+D87+D96</f>
        <v>-199999.99638593476</v>
      </c>
      <c r="F98" s="48">
        <f>+F87+F96</f>
        <v>2472051.6536140591</v>
      </c>
      <c r="G98" s="88"/>
      <c r="H98" s="9"/>
      <c r="I98"/>
      <c r="J98"/>
      <c r="K98"/>
      <c r="L98" s="1"/>
    </row>
    <row r="99" spans="1:13" ht="14.4" x14ac:dyDescent="0.3">
      <c r="G99" s="89"/>
      <c r="H99"/>
      <c r="J99" s="8"/>
      <c r="K99"/>
      <c r="L99" s="1"/>
    </row>
    <row r="100" spans="1:13" ht="15.6" x14ac:dyDescent="0.4">
      <c r="A100" s="46" t="s">
        <v>6</v>
      </c>
      <c r="C100" s="40"/>
      <c r="G100" s="91"/>
      <c r="H100" s="46" t="s">
        <v>6</v>
      </c>
      <c r="J100" s="8"/>
      <c r="K100"/>
      <c r="L100" s="1"/>
    </row>
    <row r="101" spans="1:13" ht="14.4" x14ac:dyDescent="0.3">
      <c r="A101" s="41"/>
      <c r="C101" s="8"/>
      <c r="G101" s="90"/>
      <c r="H101" s="43"/>
      <c r="I101" s="41" t="s">
        <v>105</v>
      </c>
      <c r="J101" s="8"/>
      <c r="K101"/>
      <c r="L101" s="1"/>
    </row>
    <row r="102" spans="1:13" ht="14.4" x14ac:dyDescent="0.3">
      <c r="A102" s="43"/>
      <c r="B102" s="41" t="s">
        <v>105</v>
      </c>
      <c r="C102" s="8"/>
      <c r="G102" s="90"/>
      <c r="H102" s="42" t="s">
        <v>106</v>
      </c>
      <c r="J102" s="8">
        <v>120000</v>
      </c>
      <c r="K102" s="8"/>
      <c r="L102" s="60">
        <v>-120000</v>
      </c>
      <c r="M102" s="8">
        <f>SUM(J102:L102)</f>
        <v>0</v>
      </c>
    </row>
    <row r="103" spans="1:13" ht="14.4" x14ac:dyDescent="0.3">
      <c r="A103" s="42" t="s">
        <v>106</v>
      </c>
      <c r="C103" s="8">
        <v>120000</v>
      </c>
      <c r="D103" s="8"/>
      <c r="E103" s="79">
        <v>-120000</v>
      </c>
      <c r="F103" s="8">
        <f>SUM(C103:E103)</f>
        <v>0</v>
      </c>
      <c r="G103" s="21"/>
      <c r="H103" s="42"/>
      <c r="I103" s="7" t="s">
        <v>109</v>
      </c>
      <c r="J103" s="13">
        <f>SUM(J102:J102)</f>
        <v>120000</v>
      </c>
      <c r="K103" s="13">
        <f>-SUM(K102:K102)</f>
        <v>0</v>
      </c>
      <c r="L103" s="1"/>
      <c r="M103" s="13">
        <f>SUM(M102:M102)</f>
        <v>0</v>
      </c>
    </row>
    <row r="104" spans="1:13" ht="14.4" x14ac:dyDescent="0.3">
      <c r="A104" s="42"/>
      <c r="B104" s="7" t="s">
        <v>109</v>
      </c>
      <c r="C104" s="13">
        <f>SUM(C103:C103)</f>
        <v>120000</v>
      </c>
      <c r="D104" s="13">
        <f>-SUM(D103:D103)</f>
        <v>0</v>
      </c>
      <c r="F104" s="13">
        <f>SUM(F103:F103)</f>
        <v>0</v>
      </c>
      <c r="G104" s="21"/>
      <c r="H104" s="9"/>
      <c r="I104" s="9" t="s">
        <v>48</v>
      </c>
      <c r="J104" s="31"/>
      <c r="K104" s="31"/>
      <c r="L104" s="1"/>
      <c r="M104" s="31"/>
    </row>
    <row r="105" spans="1:13" ht="14.4" x14ac:dyDescent="0.3">
      <c r="A105" s="9"/>
      <c r="B105" s="9" t="s">
        <v>48</v>
      </c>
      <c r="D105" s="31"/>
      <c r="G105" s="4"/>
      <c r="H105" s="9"/>
      <c r="I105" s="9" t="s">
        <v>53</v>
      </c>
      <c r="J105" s="48">
        <f>SUM(J103)</f>
        <v>120000</v>
      </c>
      <c r="K105" s="48">
        <f>SUM(K103)</f>
        <v>0</v>
      </c>
      <c r="L105" s="1"/>
      <c r="M105" s="48">
        <f>SUM(M103)</f>
        <v>0</v>
      </c>
    </row>
    <row r="106" spans="1:13" ht="14.4" x14ac:dyDescent="0.3">
      <c r="A106" s="9"/>
      <c r="B106" s="9" t="s">
        <v>53</v>
      </c>
      <c r="C106" s="48">
        <f>SUM(C104)</f>
        <v>120000</v>
      </c>
      <c r="D106" s="48">
        <f>SUM(D104)</f>
        <v>0</v>
      </c>
      <c r="F106" s="48">
        <f>SUM(F104)</f>
        <v>0</v>
      </c>
      <c r="G106" s="88"/>
      <c r="H106"/>
      <c r="I106"/>
      <c r="J106"/>
      <c r="K106"/>
      <c r="L106" s="1"/>
    </row>
    <row r="107" spans="1:13" ht="14.4" x14ac:dyDescent="0.3">
      <c r="D107"/>
      <c r="G107" s="89"/>
      <c r="H107" s="46" t="s">
        <v>107</v>
      </c>
      <c r="J107" s="8"/>
      <c r="K107"/>
      <c r="L107" s="1"/>
    </row>
    <row r="108" spans="1:13" ht="15.6" x14ac:dyDescent="0.4">
      <c r="A108" s="46" t="s">
        <v>107</v>
      </c>
      <c r="C108" s="40"/>
      <c r="D108"/>
      <c r="G108" s="91"/>
      <c r="H108" s="41"/>
      <c r="I108" s="41" t="s">
        <v>35</v>
      </c>
      <c r="J108" s="8"/>
      <c r="K108"/>
      <c r="L108" s="1"/>
    </row>
    <row r="109" spans="1:13" ht="14.4" x14ac:dyDescent="0.3">
      <c r="A109" s="41"/>
      <c r="C109" s="8"/>
      <c r="D109"/>
      <c r="G109" s="90"/>
      <c r="H109" s="42" t="s">
        <v>108</v>
      </c>
      <c r="J109" s="8">
        <v>0</v>
      </c>
      <c r="K109" s="8">
        <v>200000</v>
      </c>
      <c r="L109" s="60">
        <v>-120000</v>
      </c>
      <c r="M109" s="8">
        <f>SUM(J109:L109)</f>
        <v>80000</v>
      </c>
    </row>
    <row r="110" spans="1:13" ht="14.4" x14ac:dyDescent="0.3">
      <c r="A110" s="43"/>
      <c r="B110" s="41" t="s">
        <v>35</v>
      </c>
      <c r="C110" s="8"/>
      <c r="D110"/>
      <c r="G110" s="90"/>
      <c r="I110" s="7" t="s">
        <v>42</v>
      </c>
      <c r="J110" s="13">
        <f>SUM(J109:J109)</f>
        <v>0</v>
      </c>
      <c r="K110" s="13">
        <f>-SUM(K109:K109)</f>
        <v>-200000</v>
      </c>
      <c r="L110" s="1"/>
      <c r="M110" s="13">
        <f>-SUM(M109:M109)</f>
        <v>-80000</v>
      </c>
    </row>
    <row r="111" spans="1:13" ht="14.4" x14ac:dyDescent="0.3">
      <c r="A111" s="42" t="s">
        <v>108</v>
      </c>
      <c r="C111" s="8">
        <v>0</v>
      </c>
      <c r="D111" s="8">
        <v>200000</v>
      </c>
      <c r="E111" s="79">
        <v>-120000</v>
      </c>
      <c r="F111" s="8">
        <f>SUM(C111:E111)</f>
        <v>80000</v>
      </c>
      <c r="G111" s="21"/>
      <c r="H111" s="42"/>
      <c r="I111" s="9" t="s">
        <v>48</v>
      </c>
      <c r="J111" s="31"/>
      <c r="K111" s="31"/>
      <c r="L111" s="1"/>
    </row>
    <row r="112" spans="1:13" ht="14.4" x14ac:dyDescent="0.3">
      <c r="A112" s="42"/>
      <c r="B112" s="7" t="s">
        <v>42</v>
      </c>
      <c r="C112" s="13">
        <f>SUM(C111:C111)</f>
        <v>0</v>
      </c>
      <c r="D112" s="13">
        <f>-SUM(D111:D111)</f>
        <v>-200000</v>
      </c>
      <c r="F112" s="13">
        <f>-SUM(F111:F111)</f>
        <v>-80000</v>
      </c>
      <c r="G112" s="21"/>
      <c r="H112" s="9"/>
      <c r="I112" s="9" t="s">
        <v>110</v>
      </c>
      <c r="J112" s="48">
        <f>SUM(J110)</f>
        <v>0</v>
      </c>
      <c r="K112" s="48">
        <f>SUM(K110)</f>
        <v>-200000</v>
      </c>
      <c r="L112" s="1"/>
      <c r="M112" s="48">
        <f>SUM(M110)</f>
        <v>-80000</v>
      </c>
    </row>
    <row r="113" spans="1:13" ht="14.4" x14ac:dyDescent="0.3">
      <c r="A113" s="9"/>
      <c r="B113" s="9" t="s">
        <v>48</v>
      </c>
      <c r="D113" s="31"/>
      <c r="G113" s="21"/>
      <c r="H113" s="9"/>
      <c r="I113" s="9"/>
      <c r="J113" s="68"/>
      <c r="K113" s="68"/>
      <c r="L113" s="1"/>
    </row>
    <row r="114" spans="1:13" ht="14.4" x14ac:dyDescent="0.3">
      <c r="A114" s="9"/>
      <c r="B114" s="9" t="s">
        <v>110</v>
      </c>
      <c r="C114" s="48">
        <f>SUM(C112)</f>
        <v>0</v>
      </c>
      <c r="D114" s="48">
        <f>SUM(D112)</f>
        <v>-200000</v>
      </c>
      <c r="F114" s="48">
        <f>SUM(F112)</f>
        <v>-80000</v>
      </c>
      <c r="G114" s="4"/>
      <c r="H114" s="9"/>
      <c r="I114" s="32" t="s">
        <v>46</v>
      </c>
      <c r="J114" s="50">
        <f>SUM(J97,J105)</f>
        <v>2792051.648</v>
      </c>
      <c r="K114" s="50">
        <f>+K97+K105+K112</f>
        <v>-399999.99553593068</v>
      </c>
      <c r="L114" s="1"/>
      <c r="M114" s="50">
        <f>+M97+M105+M112</f>
        <v>2392051.6524640694</v>
      </c>
    </row>
    <row r="115" spans="1:13" x14ac:dyDescent="0.25">
      <c r="A115" s="9"/>
      <c r="B115" s="9"/>
      <c r="C115" s="68"/>
      <c r="D115" s="68"/>
      <c r="G115" s="4"/>
      <c r="H115" s="4"/>
      <c r="I115" s="4"/>
      <c r="J115" s="4"/>
    </row>
    <row r="116" spans="1:13" x14ac:dyDescent="0.25">
      <c r="B116" s="32" t="s">
        <v>46</v>
      </c>
      <c r="C116" s="50">
        <f>+C98+C106+C114</f>
        <v>2792051.6499999948</v>
      </c>
      <c r="D116" s="50">
        <f>+D98+D106+D114</f>
        <v>-399999.99638593476</v>
      </c>
      <c r="F116" s="50">
        <f>+F98+F106+F114</f>
        <v>2392051.6536140591</v>
      </c>
    </row>
  </sheetData>
  <mergeCells count="2">
    <mergeCell ref="A74:F74"/>
    <mergeCell ref="H74:M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Enunciado 1 </vt:lpstr>
      <vt:lpstr>Solución 1</vt:lpstr>
      <vt:lpstr>Enunciado 2</vt:lpstr>
      <vt:lpstr>Solucion 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Windows User</cp:lastModifiedBy>
  <cp:lastPrinted>2023-10-18T19:53:48Z</cp:lastPrinted>
  <dcterms:created xsi:type="dcterms:W3CDTF">2023-09-25T14:22:04Z</dcterms:created>
  <dcterms:modified xsi:type="dcterms:W3CDTF">2023-10-31T12:00:05Z</dcterms:modified>
</cp:coreProperties>
</file>