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1"/>
  <workbookPr defaultThemeVersion="124226"/>
  <mc:AlternateContent xmlns:mc="http://schemas.openxmlformats.org/markup-compatibility/2006">
    <mc:Choice Requires="x15">
      <x15ac:absPath xmlns:x15ac="http://schemas.microsoft.com/office/spreadsheetml/2010/11/ac" url="/Users/ayabbanerjee/Desktop/"/>
    </mc:Choice>
  </mc:AlternateContent>
  <xr:revisionPtr revIDLastSave="0" documentId="8_{A83AEF99-848E-FE40-A357-82E4B162D2C6}" xr6:coauthVersionLast="47" xr6:coauthVersionMax="47" xr10:uidLastSave="{00000000-0000-0000-0000-000000000000}"/>
  <bookViews>
    <workbookView xWindow="0" yWindow="500" windowWidth="28800" windowHeight="16280" xr2:uid="{00000000-000D-0000-FFFF-FFFF00000000}"/>
  </bookViews>
  <sheets>
    <sheet name="Master" sheetId="1" r:id="rId1"/>
    <sheet name="BETA Analysis" sheetId="5" r:id="rId2"/>
    <sheet name="Ratio Analysis" sheetId="4" r:id="rId3"/>
    <sheet name="Common-size trend analysi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6" i="1" l="1"/>
  <c r="C37" i="1"/>
  <c r="U109" i="1"/>
  <c r="U107" i="1"/>
  <c r="V109" i="1"/>
  <c r="V107" i="1"/>
  <c r="O43" i="1" l="1"/>
  <c r="C20" i="4"/>
  <c r="D20" i="4"/>
  <c r="E20" i="4"/>
  <c r="F20" i="4"/>
  <c r="B20" i="4"/>
  <c r="R40" i="1"/>
  <c r="S40" i="1" s="1"/>
  <c r="C43" i="1"/>
  <c r="K45" i="1"/>
  <c r="K43" i="1"/>
  <c r="K41" i="1"/>
  <c r="K40" i="1"/>
  <c r="C3" i="5"/>
  <c r="Z12" i="5"/>
  <c r="Z11" i="5"/>
  <c r="Z10" i="5"/>
  <c r="Z9" i="5"/>
  <c r="Z8" i="5"/>
  <c r="Z7" i="5"/>
  <c r="Z6" i="5"/>
  <c r="Z5" i="5"/>
  <c r="Z4" i="5"/>
  <c r="Z3" i="5"/>
  <c r="W4" i="5"/>
  <c r="W5" i="5"/>
  <c r="W6" i="5"/>
  <c r="W7" i="5"/>
  <c r="W8" i="5"/>
  <c r="W9" i="5"/>
  <c r="W10" i="5"/>
  <c r="W11" i="5"/>
  <c r="W12" i="5"/>
  <c r="W13" i="5"/>
  <c r="W14" i="5"/>
  <c r="W15" i="5"/>
  <c r="W16" i="5"/>
  <c r="W17" i="5"/>
  <c r="W18" i="5"/>
  <c r="W19" i="5"/>
  <c r="W20" i="5"/>
  <c r="W21" i="5"/>
  <c r="W22" i="5"/>
  <c r="W23" i="5"/>
  <c r="W24" i="5"/>
  <c r="W25" i="5"/>
  <c r="W26" i="5"/>
  <c r="W27" i="5"/>
  <c r="W28" i="5"/>
  <c r="W29" i="5"/>
  <c r="W30" i="5"/>
  <c r="W31" i="5"/>
  <c r="W32" i="5"/>
  <c r="W33" i="5"/>
  <c r="W34" i="5"/>
  <c r="W35" i="5"/>
  <c r="W36" i="5"/>
  <c r="W37" i="5"/>
  <c r="W38" i="5"/>
  <c r="W39" i="5"/>
  <c r="W40" i="5"/>
  <c r="W41" i="5"/>
  <c r="W42" i="5"/>
  <c r="W43" i="5"/>
  <c r="W44" i="5"/>
  <c r="W45" i="5"/>
  <c r="W46" i="5"/>
  <c r="W47" i="5"/>
  <c r="W48" i="5"/>
  <c r="W49" i="5"/>
  <c r="W50" i="5"/>
  <c r="U4" i="5"/>
  <c r="U5" i="5"/>
  <c r="U6" i="5"/>
  <c r="U7" i="5"/>
  <c r="U8" i="5"/>
  <c r="U9" i="5"/>
  <c r="U10" i="5"/>
  <c r="U11" i="5"/>
  <c r="U12" i="5"/>
  <c r="U13" i="5"/>
  <c r="U14" i="5"/>
  <c r="U15" i="5"/>
  <c r="U16" i="5"/>
  <c r="U17" i="5"/>
  <c r="U18" i="5"/>
  <c r="U19" i="5"/>
  <c r="U20" i="5"/>
  <c r="U21" i="5"/>
  <c r="U22" i="5"/>
  <c r="U23" i="5"/>
  <c r="U24" i="5"/>
  <c r="U25" i="5"/>
  <c r="U26" i="5"/>
  <c r="U27" i="5"/>
  <c r="U28" i="5"/>
  <c r="U29" i="5"/>
  <c r="U30" i="5"/>
  <c r="U31" i="5"/>
  <c r="U32" i="5"/>
  <c r="U33" i="5"/>
  <c r="U34" i="5"/>
  <c r="U35" i="5"/>
  <c r="U36" i="5"/>
  <c r="U37" i="5"/>
  <c r="U38" i="5"/>
  <c r="U39" i="5"/>
  <c r="U40" i="5"/>
  <c r="U41" i="5"/>
  <c r="U42" i="5"/>
  <c r="U43" i="5"/>
  <c r="U44" i="5"/>
  <c r="U45" i="5"/>
  <c r="U46" i="5"/>
  <c r="U47" i="5"/>
  <c r="U48" i="5"/>
  <c r="U49" i="5"/>
  <c r="U50" i="5"/>
  <c r="S4" i="5"/>
  <c r="S5" i="5"/>
  <c r="S6" i="5"/>
  <c r="S7" i="5"/>
  <c r="S8" i="5"/>
  <c r="S9" i="5"/>
  <c r="S10" i="5"/>
  <c r="S11" i="5"/>
  <c r="S12" i="5"/>
  <c r="S13" i="5"/>
  <c r="S14" i="5"/>
  <c r="S15" i="5"/>
  <c r="S16" i="5"/>
  <c r="S17" i="5"/>
  <c r="S18" i="5"/>
  <c r="S19" i="5"/>
  <c r="S20" i="5"/>
  <c r="S21" i="5"/>
  <c r="S22" i="5"/>
  <c r="S23" i="5"/>
  <c r="S24" i="5"/>
  <c r="S25" i="5"/>
  <c r="S26" i="5"/>
  <c r="S27" i="5"/>
  <c r="S28" i="5"/>
  <c r="S29" i="5"/>
  <c r="S30" i="5"/>
  <c r="S31" i="5"/>
  <c r="S32" i="5"/>
  <c r="S33" i="5"/>
  <c r="S34" i="5"/>
  <c r="S35" i="5"/>
  <c r="S36" i="5"/>
  <c r="S37" i="5"/>
  <c r="S38" i="5"/>
  <c r="S39" i="5"/>
  <c r="S40" i="5"/>
  <c r="S41" i="5"/>
  <c r="S42" i="5"/>
  <c r="S43" i="5"/>
  <c r="S44" i="5"/>
  <c r="S45" i="5"/>
  <c r="S46" i="5"/>
  <c r="S47" i="5"/>
  <c r="S48" i="5"/>
  <c r="S49" i="5"/>
  <c r="S50" i="5"/>
  <c r="Q4" i="5"/>
  <c r="Q5" i="5"/>
  <c r="Q6" i="5"/>
  <c r="Q7" i="5"/>
  <c r="Q8" i="5"/>
  <c r="Q9" i="5"/>
  <c r="Q10" i="5"/>
  <c r="Q11" i="5"/>
  <c r="Q12" i="5"/>
  <c r="Q13" i="5"/>
  <c r="Q14" i="5"/>
  <c r="Q15" i="5"/>
  <c r="Q16" i="5"/>
  <c r="Q17" i="5"/>
  <c r="Q18" i="5"/>
  <c r="Q19" i="5"/>
  <c r="Q20" i="5"/>
  <c r="Q21" i="5"/>
  <c r="Q22" i="5"/>
  <c r="Q23" i="5"/>
  <c r="Q24" i="5"/>
  <c r="Q25" i="5"/>
  <c r="Q26" i="5"/>
  <c r="Q27" i="5"/>
  <c r="Q28" i="5"/>
  <c r="Q29" i="5"/>
  <c r="Q30" i="5"/>
  <c r="Q31" i="5"/>
  <c r="Q32" i="5"/>
  <c r="Q33" i="5"/>
  <c r="Q34" i="5"/>
  <c r="Q35" i="5"/>
  <c r="Q36" i="5"/>
  <c r="Q37" i="5"/>
  <c r="Q38" i="5"/>
  <c r="Q39" i="5"/>
  <c r="Q40" i="5"/>
  <c r="Q41" i="5"/>
  <c r="Q42" i="5"/>
  <c r="Q43" i="5"/>
  <c r="Q44" i="5"/>
  <c r="Q45" i="5"/>
  <c r="Q46" i="5"/>
  <c r="Q47" i="5"/>
  <c r="Q48" i="5"/>
  <c r="Q49" i="5"/>
  <c r="Q50" i="5"/>
  <c r="O4" i="5"/>
  <c r="O5" i="5"/>
  <c r="O6" i="5"/>
  <c r="O7" i="5"/>
  <c r="O8" i="5"/>
  <c r="O9" i="5"/>
  <c r="O10" i="5"/>
  <c r="O11" i="5"/>
  <c r="O12" i="5"/>
  <c r="O13" i="5"/>
  <c r="O14" i="5"/>
  <c r="O15" i="5"/>
  <c r="O16" i="5"/>
  <c r="O17" i="5"/>
  <c r="O18" i="5"/>
  <c r="O19" i="5"/>
  <c r="O20" i="5"/>
  <c r="O21" i="5"/>
  <c r="O22" i="5"/>
  <c r="O23" i="5"/>
  <c r="O24" i="5"/>
  <c r="O25" i="5"/>
  <c r="O26" i="5"/>
  <c r="O27" i="5"/>
  <c r="O28" i="5"/>
  <c r="O29" i="5"/>
  <c r="O30" i="5"/>
  <c r="O31" i="5"/>
  <c r="O32" i="5"/>
  <c r="O33" i="5"/>
  <c r="O34" i="5"/>
  <c r="O35" i="5"/>
  <c r="O36" i="5"/>
  <c r="O37" i="5"/>
  <c r="O38" i="5"/>
  <c r="O39" i="5"/>
  <c r="O40" i="5"/>
  <c r="O41" i="5"/>
  <c r="O42" i="5"/>
  <c r="O43" i="5"/>
  <c r="O44" i="5"/>
  <c r="O45" i="5"/>
  <c r="O46" i="5"/>
  <c r="O47" i="5"/>
  <c r="O48" i="5"/>
  <c r="O49" i="5"/>
  <c r="O50" i="5"/>
  <c r="M4" i="5"/>
  <c r="M5" i="5"/>
  <c r="M6" i="5"/>
  <c r="M7" i="5"/>
  <c r="M8" i="5"/>
  <c r="M9" i="5"/>
  <c r="M10" i="5"/>
  <c r="M11" i="5"/>
  <c r="M12" i="5"/>
  <c r="M13" i="5"/>
  <c r="M14" i="5"/>
  <c r="M15" i="5"/>
  <c r="M16" i="5"/>
  <c r="M17" i="5"/>
  <c r="M18" i="5"/>
  <c r="M19" i="5"/>
  <c r="M20" i="5"/>
  <c r="M21" i="5"/>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50" i="5"/>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W3" i="5"/>
  <c r="U3" i="5"/>
  <c r="S3" i="5"/>
  <c r="Q3" i="5"/>
  <c r="O3" i="5"/>
  <c r="M3" i="5"/>
  <c r="K3" i="5"/>
  <c r="I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3"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Y12" i="5"/>
  <c r="Y11" i="5"/>
  <c r="Y10" i="5"/>
  <c r="Y9" i="5"/>
  <c r="Y8" i="5"/>
  <c r="Y7" i="5"/>
  <c r="Y6" i="5"/>
  <c r="Y5" i="5"/>
  <c r="Y4" i="5"/>
  <c r="Y3" i="5"/>
  <c r="S109" i="1"/>
  <c r="T109" i="1"/>
  <c r="T106" i="1"/>
  <c r="U106" i="1"/>
  <c r="S106" i="1"/>
  <c r="C24" i="4"/>
  <c r="D24" i="4"/>
  <c r="E24" i="4"/>
  <c r="F24" i="4"/>
  <c r="B24" i="4"/>
  <c r="C19" i="4"/>
  <c r="D19" i="4"/>
  <c r="E19" i="4"/>
  <c r="F19" i="4"/>
  <c r="B19" i="4"/>
  <c r="C18" i="4"/>
  <c r="D18" i="4"/>
  <c r="E18" i="4"/>
  <c r="F18" i="4"/>
  <c r="B18" i="4"/>
  <c r="C17" i="4"/>
  <c r="B17" i="4"/>
  <c r="C29" i="1"/>
  <c r="D29" i="1"/>
  <c r="H88" i="1"/>
  <c r="C12" i="4"/>
  <c r="D12" i="4"/>
  <c r="E12" i="4"/>
  <c r="F12" i="4"/>
  <c r="B12" i="4"/>
  <c r="F5" i="4"/>
  <c r="F3" i="4"/>
  <c r="D24" i="1"/>
  <c r="E24" i="1"/>
  <c r="E27" i="1" s="1"/>
  <c r="F24" i="1"/>
  <c r="C24" i="1"/>
  <c r="C27" i="1" s="1"/>
  <c r="C22" i="1"/>
  <c r="D25" i="1"/>
  <c r="E25" i="1"/>
  <c r="F25" i="1"/>
  <c r="C25" i="1"/>
  <c r="AA4" i="1"/>
  <c r="AB4" i="1"/>
  <c r="AC4" i="1"/>
  <c r="AD4" i="1"/>
  <c r="Z4" i="1"/>
  <c r="D9" i="1"/>
  <c r="E9" i="1"/>
  <c r="F9" i="1"/>
  <c r="G9" i="1"/>
  <c r="C9" i="1"/>
  <c r="F7" i="1"/>
  <c r="G7" i="1"/>
  <c r="D22" i="1"/>
  <c r="E22" i="1"/>
  <c r="F22" i="1"/>
  <c r="O29" i="1" a="1"/>
  <c r="O29" i="1" s="1"/>
  <c r="K28" i="1" s="1"/>
  <c r="K30" i="1" s="1"/>
  <c r="K25" i="1"/>
  <c r="P29" i="1" a="1"/>
  <c r="P29" i="1" s="1"/>
  <c r="K32" i="1" s="1"/>
  <c r="N29" i="1" a="1"/>
  <c r="N29" i="1" s="1"/>
  <c r="T13" i="1" s="1"/>
  <c r="M29" i="1" a="1"/>
  <c r="M29" i="1" s="1"/>
  <c r="K26" i="1"/>
  <c r="K24" i="1"/>
  <c r="K22" i="1"/>
  <c r="K21" i="1"/>
  <c r="K20" i="1"/>
  <c r="K18" i="1"/>
  <c r="C42" i="1"/>
  <c r="D27" i="1"/>
  <c r="D26" i="1"/>
  <c r="E26" i="1"/>
  <c r="F26" i="1"/>
  <c r="D30" i="1"/>
  <c r="E30" i="1"/>
  <c r="F30" i="1"/>
  <c r="C30" i="1"/>
  <c r="C26" i="1"/>
  <c r="G109" i="1"/>
  <c r="F4" i="4" s="1"/>
  <c r="G71" i="1"/>
  <c r="G83" i="1" s="1"/>
  <c r="D14" i="1"/>
  <c r="E14" i="1"/>
  <c r="F14" i="1"/>
  <c r="G14" i="1"/>
  <c r="C14" i="1"/>
  <c r="D13" i="1"/>
  <c r="E13" i="1"/>
  <c r="F13" i="1"/>
  <c r="G13" i="1"/>
  <c r="C13" i="1"/>
  <c r="D82" i="1"/>
  <c r="C4" i="4" s="1"/>
  <c r="E82" i="1"/>
  <c r="D4" i="4" s="1"/>
  <c r="F82" i="1"/>
  <c r="E4" i="4" s="1"/>
  <c r="E71" i="1"/>
  <c r="F71" i="1"/>
  <c r="D71" i="1"/>
  <c r="C71" i="1"/>
  <c r="L84" i="1"/>
  <c r="M84" i="1"/>
  <c r="N84" i="1"/>
  <c r="V36" i="3" s="1"/>
  <c r="O84" i="1"/>
  <c r="K84" i="1"/>
  <c r="T105" i="1"/>
  <c r="U105" i="1"/>
  <c r="V105" i="1"/>
  <c r="W105" i="1"/>
  <c r="S105" i="1"/>
  <c r="T96" i="1"/>
  <c r="U96" i="1"/>
  <c r="V96" i="1"/>
  <c r="W96" i="1"/>
  <c r="S96" i="1"/>
  <c r="T60" i="1"/>
  <c r="D7" i="1" s="1"/>
  <c r="U60" i="1"/>
  <c r="E7" i="1" s="1"/>
  <c r="S60" i="1"/>
  <c r="C7" i="1" s="1"/>
  <c r="T58" i="1"/>
  <c r="U58" i="1"/>
  <c r="S58" i="1"/>
  <c r="L67" i="1"/>
  <c r="M67" i="1"/>
  <c r="N67" i="1"/>
  <c r="V19" i="3" s="1"/>
  <c r="O67" i="1"/>
  <c r="W19" i="3" s="1"/>
  <c r="L57" i="1"/>
  <c r="T35" i="3" s="1"/>
  <c r="M57" i="1"/>
  <c r="U32" i="3" s="1"/>
  <c r="N57" i="1"/>
  <c r="V30" i="3" s="1"/>
  <c r="O57" i="1"/>
  <c r="W17" i="3" s="1"/>
  <c r="K67" i="1"/>
  <c r="K57" i="1"/>
  <c r="S17" i="3" s="1"/>
  <c r="F109" i="1"/>
  <c r="E5" i="4" s="1"/>
  <c r="E109" i="1"/>
  <c r="D5" i="4" s="1"/>
  <c r="D109" i="1"/>
  <c r="C5" i="4" s="1"/>
  <c r="C109" i="1"/>
  <c r="B4" i="4" s="1"/>
  <c r="G98" i="1"/>
  <c r="F98" i="1"/>
  <c r="E98" i="1"/>
  <c r="D98" i="1"/>
  <c r="C98" i="1"/>
  <c r="G89" i="1"/>
  <c r="F17" i="4" s="1"/>
  <c r="F89" i="1"/>
  <c r="E17" i="4" s="1"/>
  <c r="E89" i="1"/>
  <c r="E29" i="1" s="1"/>
  <c r="E31" i="1" s="1"/>
  <c r="D7" i="4" s="1"/>
  <c r="D89" i="1"/>
  <c r="C89" i="1"/>
  <c r="C82" i="1"/>
  <c r="Q40" i="1" l="1"/>
  <c r="P40" i="1" s="1"/>
  <c r="F29" i="1"/>
  <c r="D17" i="4"/>
  <c r="E3" i="4"/>
  <c r="B5" i="4"/>
  <c r="U36" i="3"/>
  <c r="C44" i="1"/>
  <c r="C49" i="1" s="1"/>
  <c r="F22" i="3"/>
  <c r="T36" i="3"/>
  <c r="D3" i="4"/>
  <c r="C3" i="4"/>
  <c r="U19" i="3"/>
  <c r="D83" i="1"/>
  <c r="C83" i="1"/>
  <c r="F32" i="3" s="1"/>
  <c r="S19" i="3"/>
  <c r="T19" i="3"/>
  <c r="S36" i="3"/>
  <c r="W36" i="3"/>
  <c r="F83" i="1"/>
  <c r="I24" i="3" s="1"/>
  <c r="B3" i="4"/>
  <c r="T10" i="1"/>
  <c r="G62" i="3"/>
  <c r="J29" i="3"/>
  <c r="J19" i="3"/>
  <c r="J9" i="3"/>
  <c r="J28" i="3"/>
  <c r="J18" i="3"/>
  <c r="J8" i="3"/>
  <c r="J27" i="3"/>
  <c r="J17" i="3"/>
  <c r="J34" i="3"/>
  <c r="J26" i="3"/>
  <c r="J14" i="3"/>
  <c r="J33" i="3"/>
  <c r="J24" i="3"/>
  <c r="J13" i="3"/>
  <c r="J32" i="3"/>
  <c r="J12" i="3"/>
  <c r="J31" i="3"/>
  <c r="J21" i="3"/>
  <c r="J11" i="3"/>
  <c r="J30" i="3"/>
  <c r="J20" i="3"/>
  <c r="J10" i="3"/>
  <c r="G28" i="3"/>
  <c r="G17" i="3"/>
  <c r="G8" i="3"/>
  <c r="G12" i="3"/>
  <c r="G32" i="3"/>
  <c r="G21" i="3"/>
  <c r="I50" i="3"/>
  <c r="E83" i="1"/>
  <c r="F31" i="1"/>
  <c r="E7" i="4" s="1"/>
  <c r="S9" i="3"/>
  <c r="S18" i="3"/>
  <c r="S29" i="3"/>
  <c r="I12" i="3"/>
  <c r="I32" i="3"/>
  <c r="T7" i="3"/>
  <c r="T16" i="3"/>
  <c r="U13" i="3"/>
  <c r="U21" i="3"/>
  <c r="U34" i="3"/>
  <c r="V12" i="3"/>
  <c r="V31" i="3"/>
  <c r="W9" i="3"/>
  <c r="W18" i="3"/>
  <c r="W29" i="3"/>
  <c r="S11" i="3"/>
  <c r="S30" i="3"/>
  <c r="I13" i="3"/>
  <c r="T8" i="3"/>
  <c r="T17" i="3"/>
  <c r="T24" i="3"/>
  <c r="U14" i="3"/>
  <c r="U24" i="3"/>
  <c r="U35" i="3"/>
  <c r="V13" i="3"/>
  <c r="V21" i="3"/>
  <c r="V32" i="3"/>
  <c r="W11" i="3"/>
  <c r="W30" i="3"/>
  <c r="K31" i="1"/>
  <c r="D31" i="1"/>
  <c r="C7" i="4" s="1"/>
  <c r="F13" i="3"/>
  <c r="S12" i="3"/>
  <c r="S31" i="3"/>
  <c r="I14" i="3"/>
  <c r="I26" i="3"/>
  <c r="I34" i="3"/>
  <c r="J22" i="3"/>
  <c r="T9" i="3"/>
  <c r="T18" i="3"/>
  <c r="T29" i="3"/>
  <c r="U7" i="3"/>
  <c r="U15" i="3"/>
  <c r="U25" i="3"/>
  <c r="V14" i="3"/>
  <c r="V22" i="3"/>
  <c r="V34" i="3"/>
  <c r="W12" i="3"/>
  <c r="W31" i="3"/>
  <c r="C31" i="1"/>
  <c r="B7" i="4" s="1"/>
  <c r="F27" i="3"/>
  <c r="S13" i="3"/>
  <c r="S21" i="3"/>
  <c r="S32" i="3"/>
  <c r="T11" i="3"/>
  <c r="T30" i="3"/>
  <c r="U8" i="3"/>
  <c r="U16" i="3"/>
  <c r="V15" i="3"/>
  <c r="V24" i="3"/>
  <c r="V35" i="3"/>
  <c r="W13" i="3"/>
  <c r="W21" i="3"/>
  <c r="W32" i="3"/>
  <c r="F17" i="3"/>
  <c r="F28" i="3"/>
  <c r="S14" i="3"/>
  <c r="S34" i="3"/>
  <c r="I28" i="3"/>
  <c r="T12" i="3"/>
  <c r="T21" i="3"/>
  <c r="T31" i="3"/>
  <c r="U9" i="3"/>
  <c r="U17" i="3"/>
  <c r="U29" i="3"/>
  <c r="V7" i="3"/>
  <c r="V16" i="3"/>
  <c r="V25" i="3"/>
  <c r="W14" i="3"/>
  <c r="W34" i="3"/>
  <c r="S15" i="3"/>
  <c r="S24" i="3"/>
  <c r="S35" i="3"/>
  <c r="I9" i="3"/>
  <c r="I19" i="3"/>
  <c r="I29" i="3"/>
  <c r="T13" i="3"/>
  <c r="T32" i="3"/>
  <c r="U11" i="3"/>
  <c r="U18" i="3"/>
  <c r="U30" i="3"/>
  <c r="V8" i="3"/>
  <c r="V17" i="3"/>
  <c r="W15" i="3"/>
  <c r="W24" i="3"/>
  <c r="W35" i="3"/>
  <c r="S7" i="3"/>
  <c r="S16" i="3"/>
  <c r="S25" i="3"/>
  <c r="T14" i="3"/>
  <c r="T34" i="3"/>
  <c r="U31" i="3"/>
  <c r="V9" i="3"/>
  <c r="V18" i="3"/>
  <c r="V29" i="3"/>
  <c r="W7" i="3"/>
  <c r="W16" i="3"/>
  <c r="W25" i="3"/>
  <c r="F20" i="3"/>
  <c r="S8" i="3"/>
  <c r="T15" i="3"/>
  <c r="T25" i="3"/>
  <c r="U12" i="3"/>
  <c r="V11" i="3"/>
  <c r="W8" i="3"/>
  <c r="F27" i="1"/>
  <c r="C34" i="1"/>
  <c r="O68" i="1"/>
  <c r="F10" i="4" s="1"/>
  <c r="F110" i="1"/>
  <c r="I62" i="3" s="1"/>
  <c r="N68" i="1"/>
  <c r="M68" i="1"/>
  <c r="D10" i="4" s="1"/>
  <c r="E110" i="1"/>
  <c r="H50" i="3" s="1"/>
  <c r="G110" i="1"/>
  <c r="J40" i="3" s="1"/>
  <c r="L68" i="1"/>
  <c r="C10" i="4" s="1"/>
  <c r="K68" i="1"/>
  <c r="B10" i="4" s="1"/>
  <c r="D110" i="1"/>
  <c r="G50" i="3" s="1"/>
  <c r="C110" i="1"/>
  <c r="F40" i="3" s="1"/>
  <c r="V20" i="3" l="1"/>
  <c r="E10" i="4"/>
  <c r="F30" i="3"/>
  <c r="F14" i="3"/>
  <c r="H33" i="3"/>
  <c r="F8" i="3"/>
  <c r="F26" i="3"/>
  <c r="F11" i="3"/>
  <c r="G10" i="3"/>
  <c r="G27" i="3"/>
  <c r="H40" i="3"/>
  <c r="G33" i="3"/>
  <c r="F10" i="3"/>
  <c r="F33" i="3"/>
  <c r="G13" i="3"/>
  <c r="I31" i="3"/>
  <c r="I30" i="3"/>
  <c r="F9" i="3"/>
  <c r="I18" i="3"/>
  <c r="I27" i="3"/>
  <c r="F24" i="3"/>
  <c r="G20" i="3"/>
  <c r="G24" i="3"/>
  <c r="G29" i="3"/>
  <c r="F19" i="3"/>
  <c r="G22" i="3"/>
  <c r="G9" i="3"/>
  <c r="G18" i="3"/>
  <c r="I21" i="3"/>
  <c r="I20" i="3"/>
  <c r="F12" i="3"/>
  <c r="G31" i="3"/>
  <c r="G34" i="3"/>
  <c r="G19" i="3"/>
  <c r="F31" i="3"/>
  <c r="F29" i="3"/>
  <c r="I8" i="3"/>
  <c r="I17" i="3"/>
  <c r="I11" i="3"/>
  <c r="I10" i="3"/>
  <c r="F18" i="3"/>
  <c r="F34" i="3"/>
  <c r="I33" i="3"/>
  <c r="F21" i="3"/>
  <c r="G26" i="3"/>
  <c r="G14" i="3"/>
  <c r="G30" i="3"/>
  <c r="I22" i="3"/>
  <c r="C45" i="1"/>
  <c r="J62" i="3"/>
  <c r="E111" i="1"/>
  <c r="H59" i="3"/>
  <c r="H48" i="3"/>
  <c r="H58" i="3"/>
  <c r="H47" i="3"/>
  <c r="H57" i="3"/>
  <c r="H46" i="3"/>
  <c r="H56" i="3"/>
  <c r="H45" i="3"/>
  <c r="H63" i="3"/>
  <c r="H55" i="3"/>
  <c r="H54" i="3"/>
  <c r="H39" i="3"/>
  <c r="H61" i="3"/>
  <c r="H38" i="3"/>
  <c r="H60" i="3"/>
  <c r="H49" i="3"/>
  <c r="D111" i="1"/>
  <c r="G63" i="3"/>
  <c r="G55" i="3"/>
  <c r="G54" i="3"/>
  <c r="G39" i="3"/>
  <c r="G61" i="3"/>
  <c r="G38" i="3"/>
  <c r="G60" i="3"/>
  <c r="G49" i="3"/>
  <c r="G59" i="3"/>
  <c r="G48" i="3"/>
  <c r="G58" i="3"/>
  <c r="G47" i="3"/>
  <c r="G57" i="3"/>
  <c r="G46" i="3"/>
  <c r="G56" i="3"/>
  <c r="G45" i="3"/>
  <c r="G40" i="3"/>
  <c r="G111" i="1"/>
  <c r="J63" i="3"/>
  <c r="J55" i="3"/>
  <c r="J54" i="3"/>
  <c r="J39" i="3"/>
  <c r="J61" i="3"/>
  <c r="J38" i="3"/>
  <c r="J60" i="3"/>
  <c r="J49" i="3"/>
  <c r="J59" i="3"/>
  <c r="J48" i="3"/>
  <c r="J58" i="3"/>
  <c r="J47" i="3"/>
  <c r="J57" i="3"/>
  <c r="J46" i="3"/>
  <c r="J56" i="3"/>
  <c r="J45" i="3"/>
  <c r="M70" i="1"/>
  <c r="U22" i="3" s="1"/>
  <c r="U20" i="3"/>
  <c r="C111" i="1"/>
  <c r="F57" i="3"/>
  <c r="F46" i="3"/>
  <c r="F56" i="3"/>
  <c r="F45" i="3"/>
  <c r="F63" i="3"/>
  <c r="F55" i="3"/>
  <c r="F54" i="3"/>
  <c r="F39" i="3"/>
  <c r="F61" i="3"/>
  <c r="F38" i="3"/>
  <c r="F60" i="3"/>
  <c r="F49" i="3"/>
  <c r="F59" i="3"/>
  <c r="F48" i="3"/>
  <c r="F58" i="3"/>
  <c r="F47" i="3"/>
  <c r="I57" i="3"/>
  <c r="I46" i="3"/>
  <c r="I56" i="3"/>
  <c r="I45" i="3"/>
  <c r="I63" i="3"/>
  <c r="I55" i="3"/>
  <c r="I54" i="3"/>
  <c r="I39" i="3"/>
  <c r="I61" i="3"/>
  <c r="I38" i="3"/>
  <c r="I60" i="3"/>
  <c r="I49" i="3"/>
  <c r="I59" i="3"/>
  <c r="I48" i="3"/>
  <c r="I58" i="3"/>
  <c r="I47" i="3"/>
  <c r="H24" i="3"/>
  <c r="H14" i="3"/>
  <c r="H32" i="3"/>
  <c r="H13" i="3"/>
  <c r="H31" i="3"/>
  <c r="H12" i="3"/>
  <c r="H30" i="3"/>
  <c r="H21" i="3"/>
  <c r="H11" i="3"/>
  <c r="H29" i="3"/>
  <c r="H20" i="3"/>
  <c r="H10" i="3"/>
  <c r="H28" i="3"/>
  <c r="H19" i="3"/>
  <c r="H9" i="3"/>
  <c r="H27" i="3"/>
  <c r="H18" i="3"/>
  <c r="H8" i="3"/>
  <c r="H34" i="3"/>
  <c r="H26" i="3"/>
  <c r="H17" i="3"/>
  <c r="F62" i="3"/>
  <c r="O70" i="1"/>
  <c r="W20" i="3"/>
  <c r="J50" i="3"/>
  <c r="H62" i="3"/>
  <c r="K70" i="1"/>
  <c r="S22" i="3" s="1"/>
  <c r="S20" i="3"/>
  <c r="L70" i="1"/>
  <c r="T22" i="3" s="1"/>
  <c r="T20" i="3"/>
  <c r="H22" i="3"/>
  <c r="F50" i="3"/>
  <c r="I40" i="3"/>
  <c r="N74" i="1"/>
  <c r="S56" i="1"/>
  <c r="S70" i="1" s="1"/>
  <c r="S75" i="1" s="1"/>
  <c r="S77" i="1" s="1"/>
  <c r="B9" i="4" s="1"/>
  <c r="L74" i="1"/>
  <c r="V56" i="1"/>
  <c r="F111" i="1"/>
  <c r="V26" i="3" l="1"/>
  <c r="E14" i="4"/>
  <c r="T26" i="3"/>
  <c r="C14" i="4"/>
  <c r="K74" i="1"/>
  <c r="T56" i="1"/>
  <c r="T70" i="1" s="1"/>
  <c r="T75" i="1" s="1"/>
  <c r="T77" i="1" s="1"/>
  <c r="C9" i="4" s="1"/>
  <c r="O74" i="1"/>
  <c r="F14" i="4" s="1"/>
  <c r="W22" i="3"/>
  <c r="M74" i="1"/>
  <c r="U56" i="1"/>
  <c r="U70" i="1" s="1"/>
  <c r="U75" i="1" s="1"/>
  <c r="U77" i="1" s="1"/>
  <c r="D9" i="4" s="1"/>
  <c r="W56" i="1"/>
  <c r="V70" i="1"/>
  <c r="V75" i="1" s="1"/>
  <c r="V77" i="1" s="1"/>
  <c r="E9" i="4" s="1"/>
  <c r="M85" i="1"/>
  <c r="D13" i="4" s="1"/>
  <c r="L85" i="1"/>
  <c r="C13" i="4" s="1"/>
  <c r="K85" i="1"/>
  <c r="B13" i="4" s="1"/>
  <c r="N85" i="1"/>
  <c r="E13" i="4" s="1"/>
  <c r="S26" i="3" l="1"/>
  <c r="B14" i="4"/>
  <c r="U26" i="3"/>
  <c r="D14" i="4"/>
  <c r="V37" i="3"/>
  <c r="F4" i="1"/>
  <c r="F6" i="1" s="1"/>
  <c r="AC5" i="1"/>
  <c r="E15" i="4" s="1"/>
  <c r="AC6" i="1"/>
  <c r="E4" i="1"/>
  <c r="E6" i="1" s="1"/>
  <c r="U37" i="3"/>
  <c r="AB5" i="1"/>
  <c r="D15" i="4" s="1"/>
  <c r="AB6" i="1"/>
  <c r="W70" i="1"/>
  <c r="W75" i="1" s="1"/>
  <c r="W77" i="1" s="1"/>
  <c r="F9" i="4" s="1"/>
  <c r="S37" i="3"/>
  <c r="C4" i="1"/>
  <c r="Z5" i="1"/>
  <c r="B15" i="4" s="1"/>
  <c r="Z6" i="1"/>
  <c r="D4" i="1"/>
  <c r="D6" i="1" s="1"/>
  <c r="AA6" i="1"/>
  <c r="AA5" i="1"/>
  <c r="C15" i="4" s="1"/>
  <c r="T37" i="3"/>
  <c r="W26" i="3"/>
  <c r="O85" i="1"/>
  <c r="F13" i="4" s="1"/>
  <c r="T11" i="1" l="1"/>
  <c r="D16" i="1"/>
  <c r="D18" i="1" s="1"/>
  <c r="D17" i="1"/>
  <c r="E16" i="1"/>
  <c r="E18" i="1" s="1"/>
  <c r="E17" i="1"/>
  <c r="C6" i="1"/>
  <c r="C16" i="1" s="1"/>
  <c r="C17" i="1"/>
  <c r="W37" i="3"/>
  <c r="AD5" i="1"/>
  <c r="F15" i="4" s="1"/>
  <c r="G4" i="1"/>
  <c r="G6" i="1" s="1"/>
  <c r="AD6" i="1"/>
  <c r="Z7" i="1" s="1"/>
  <c r="Z8" i="1" s="1"/>
  <c r="Z9" i="1" s="1"/>
  <c r="Z10" i="1" s="1"/>
  <c r="Z11" i="1" s="1"/>
  <c r="F17" i="1"/>
  <c r="F16" i="1"/>
  <c r="F18" i="1" s="1"/>
  <c r="C47" i="1" l="1"/>
  <c r="C48" i="1" s="1"/>
  <c r="C18" i="1"/>
  <c r="K4" i="1"/>
  <c r="K6" i="1" s="1"/>
  <c r="G17" i="1"/>
  <c r="G16" i="1"/>
  <c r="G18" i="1" s="1"/>
  <c r="C19" i="1" l="1"/>
  <c r="C35" i="1" s="1"/>
  <c r="K8" i="1"/>
  <c r="K9" i="1" s="1"/>
  <c r="C38" i="1" l="1"/>
  <c r="S19" i="1" s="1"/>
  <c r="L4" i="1" l="1"/>
  <c r="L6" i="1" s="1"/>
  <c r="L8" i="1" s="1"/>
  <c r="L9" i="1" s="1"/>
  <c r="M4" i="1" l="1"/>
  <c r="N4" i="1" l="1"/>
  <c r="M6" i="1"/>
  <c r="M8" i="1" s="1"/>
  <c r="M9" i="1" s="1"/>
  <c r="O4" i="1" l="1"/>
  <c r="N6" i="1"/>
  <c r="N8" i="1" s="1"/>
  <c r="N9" i="1" s="1"/>
  <c r="P4" i="1" l="1"/>
  <c r="P6" i="1" s="1"/>
  <c r="P8" i="1" s="1"/>
  <c r="P9" i="1" s="1"/>
  <c r="K13" i="1" s="1"/>
  <c r="O6" i="1"/>
  <c r="O8" i="1" s="1"/>
  <c r="O9" i="1" s="1"/>
  <c r="K12" i="1" l="1"/>
  <c r="K14" i="1" s="1"/>
  <c r="T12" i="1" s="1"/>
  <c r="K17" i="1" l="1"/>
  <c r="K27" i="1" s="1"/>
  <c r="K29" i="1" s="1"/>
  <c r="O4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B5" authorId="0" shapeId="0" xr:uid="{C5A2880A-9DB6-5041-80F7-E8F23E0FB771}">
      <text>
        <r>
          <rPr>
            <b/>
            <sz val="10"/>
            <color rgb="FF000000"/>
            <rFont val="Tahoma"/>
            <family val="2"/>
          </rPr>
          <t xml:space="preserve">From notes to financial statements
</t>
        </r>
        <r>
          <rPr>
            <sz val="10"/>
            <color rgb="FF000000"/>
            <rFont val="Tahoma"/>
            <family val="2"/>
          </rPr>
          <t xml:space="preserve">
</t>
        </r>
      </text>
    </comment>
    <comment ref="B26" authorId="0" shapeId="0" xr:uid="{3197637B-7B87-004D-B4E7-6173BFA1588F}">
      <text>
        <r>
          <rPr>
            <b/>
            <sz val="10"/>
            <color rgb="FF000000"/>
            <rFont val="Tahoma"/>
            <family val="2"/>
          </rPr>
          <t>Microsoft Office User:</t>
        </r>
        <r>
          <rPr>
            <sz val="10"/>
            <color rgb="FF000000"/>
            <rFont val="Tahoma"/>
            <family val="2"/>
          </rPr>
          <t xml:space="preserve">
</t>
        </r>
        <r>
          <rPr>
            <sz val="10"/>
            <color rgb="FF000000"/>
            <rFont val="Tahoma"/>
            <family val="2"/>
          </rPr>
          <t xml:space="preserve">Depreciation is not subtracted 
</t>
        </r>
        <r>
          <rPr>
            <sz val="10"/>
            <color rgb="FF000000"/>
            <rFont val="Tahoma"/>
            <family val="2"/>
          </rPr>
          <t>because the balance sheet PP&amp;E is net of depreciation</t>
        </r>
      </text>
    </comment>
    <comment ref="C48" authorId="0" shapeId="0" xr:uid="{7C5D673D-31E2-DC40-821D-17205CB54080}">
      <text>
        <r>
          <rPr>
            <b/>
            <sz val="10"/>
            <color rgb="FF000000"/>
            <rFont val="Tahoma"/>
            <family val="2"/>
          </rPr>
          <t>The value comes in E as the debt component of ITC is very small as compared to the equity component</t>
        </r>
        <r>
          <rPr>
            <sz val="10"/>
            <color rgb="FF000000"/>
            <rFont val="Tahoma"/>
            <family val="2"/>
          </rPr>
          <t xml:space="preserve">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6"/>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<sst xmlns="http://schemas.openxmlformats.org/spreadsheetml/2006/main" count="453" uniqueCount="311">
  <si>
    <t>PAT</t>
  </si>
  <si>
    <t>Add: Taxes</t>
  </si>
  <si>
    <t>PBT</t>
  </si>
  <si>
    <t>Add: Interest &amp; Finance Charges</t>
  </si>
  <si>
    <t>Less:</t>
  </si>
  <si>
    <t>Non-Operating Income</t>
  </si>
  <si>
    <t>Add: Non Operating Expense</t>
  </si>
  <si>
    <t>EBIT</t>
  </si>
  <si>
    <t>Current</t>
  </si>
  <si>
    <t>Forecast</t>
  </si>
  <si>
    <t>Operating Income</t>
  </si>
  <si>
    <t>Capital Expenditure</t>
  </si>
  <si>
    <t>Acquisitions</t>
  </si>
  <si>
    <t>Increase in non-cash current assets</t>
  </si>
  <si>
    <t>Increase in non-debt current liabilites</t>
  </si>
  <si>
    <t>Re-investment</t>
  </si>
  <si>
    <t>Average EBIT(1-T)</t>
  </si>
  <si>
    <t>Re-investment Rate</t>
  </si>
  <si>
    <t>Average Re-investment</t>
  </si>
  <si>
    <t>Average ROCE</t>
  </si>
  <si>
    <t>Sources of capital</t>
  </si>
  <si>
    <t>Equity</t>
  </si>
  <si>
    <t>Debt</t>
  </si>
  <si>
    <t>Total</t>
  </si>
  <si>
    <t>Cash flow for Firm</t>
  </si>
  <si>
    <t>PV of 5 years flows</t>
  </si>
  <si>
    <t>PV of Terminal Flow</t>
  </si>
  <si>
    <t>Value of the firm</t>
  </si>
  <si>
    <t>Growth rate</t>
  </si>
  <si>
    <t>Equity Value</t>
  </si>
  <si>
    <t>Add: Cash</t>
  </si>
  <si>
    <t>Add: Non-Operating Assets</t>
  </si>
  <si>
    <t>Long and short term debt</t>
  </si>
  <si>
    <t>Other Financial Obligations</t>
  </si>
  <si>
    <t>Value of Equity</t>
  </si>
  <si>
    <t>no. of shares</t>
  </si>
  <si>
    <t>Value per share</t>
  </si>
  <si>
    <t>Book Value per share</t>
  </si>
  <si>
    <t>Market Value per share</t>
  </si>
  <si>
    <t>Market Capitalization</t>
  </si>
  <si>
    <t>WACC</t>
  </si>
  <si>
    <t>Rf</t>
  </si>
  <si>
    <t>Risk Premium</t>
  </si>
  <si>
    <t>Beta</t>
  </si>
  <si>
    <t>Cost of equity</t>
  </si>
  <si>
    <t>Average levered beta for 10 firms</t>
  </si>
  <si>
    <t>Average D/E for 10 firms</t>
  </si>
  <si>
    <t>Marginal tax rate</t>
  </si>
  <si>
    <t>Average unlevered beta</t>
  </si>
  <si>
    <t>D/E of the firm</t>
  </si>
  <si>
    <t>Levered beta for firm</t>
  </si>
  <si>
    <t>Cost of debt</t>
  </si>
  <si>
    <t>Marginal Tax rate</t>
  </si>
  <si>
    <t>Balance sheet Last 5 years</t>
  </si>
  <si>
    <t>Income Statement Last 5 years</t>
  </si>
  <si>
    <t>Cash flow statement last 5 years</t>
  </si>
  <si>
    <t>Estimating Growth</t>
  </si>
  <si>
    <t>Estimating Re-investment</t>
  </si>
  <si>
    <t>Weight of Equity</t>
  </si>
  <si>
    <t>Weight of debt</t>
  </si>
  <si>
    <t>Marginal Tax Rate</t>
  </si>
  <si>
    <t>Relative Valuation</t>
  </si>
  <si>
    <t>P/B</t>
  </si>
  <si>
    <t>P/E</t>
  </si>
  <si>
    <t>EV/EBDITA</t>
  </si>
  <si>
    <t>P/Sales</t>
  </si>
  <si>
    <t>Industry Average</t>
  </si>
  <si>
    <t>Trailing P/E</t>
  </si>
  <si>
    <t>Forward P/E</t>
  </si>
  <si>
    <t>Currently</t>
  </si>
  <si>
    <t>Industry multiple (if any)</t>
  </si>
  <si>
    <t>Any other non-operating liabilities</t>
  </si>
  <si>
    <t>Estimating Cashflows</t>
  </si>
  <si>
    <t>Firm Value</t>
  </si>
  <si>
    <t>Beta for the Firm</t>
  </si>
  <si>
    <t>Sensitivity Analysis</t>
  </si>
  <si>
    <t>ROCE</t>
  </si>
  <si>
    <t>Average EBIT*(1-T)</t>
  </si>
  <si>
    <t>NOPAT: EBIT*(1-T)</t>
  </si>
  <si>
    <t>Depreciation</t>
  </si>
  <si>
    <t>Dividend Model</t>
  </si>
  <si>
    <t>ASSETS</t>
  </si>
  <si>
    <t>NON CURRENT ASSETS</t>
  </si>
  <si>
    <t>Property plant and equipment</t>
  </si>
  <si>
    <t>Rs. Crores</t>
  </si>
  <si>
    <t>Indexing</t>
  </si>
  <si>
    <t>A</t>
  </si>
  <si>
    <t>B</t>
  </si>
  <si>
    <t>C</t>
  </si>
  <si>
    <t>Capital WIP</t>
  </si>
  <si>
    <t>Investment Property</t>
  </si>
  <si>
    <t>D</t>
  </si>
  <si>
    <t>Goodwill</t>
  </si>
  <si>
    <t>-</t>
  </si>
  <si>
    <t>E</t>
  </si>
  <si>
    <t>Other intangible assets</t>
  </si>
  <si>
    <t>F</t>
  </si>
  <si>
    <t>Other intangible assets under development</t>
  </si>
  <si>
    <t>G</t>
  </si>
  <si>
    <t>H</t>
  </si>
  <si>
    <t>Right of use assets</t>
  </si>
  <si>
    <t>Financial assets:</t>
  </si>
  <si>
    <t>H(i)</t>
  </si>
  <si>
    <t>Investments</t>
  </si>
  <si>
    <t>H(ii)</t>
  </si>
  <si>
    <t>Loans</t>
  </si>
  <si>
    <t>H(iii)</t>
  </si>
  <si>
    <t>Others</t>
  </si>
  <si>
    <t>I</t>
  </si>
  <si>
    <t>Other non-current assets</t>
  </si>
  <si>
    <t>CURRENT ASSETS</t>
  </si>
  <si>
    <t>Inventories</t>
  </si>
  <si>
    <t>B(i)</t>
  </si>
  <si>
    <t>B(ii)</t>
  </si>
  <si>
    <t>Trade receivables</t>
  </si>
  <si>
    <t>B(iii)</t>
  </si>
  <si>
    <t>Cash and cash equivalents</t>
  </si>
  <si>
    <t>B(iv)</t>
  </si>
  <si>
    <t>Other Bank Balances</t>
  </si>
  <si>
    <t>B(v)</t>
  </si>
  <si>
    <t>B(vi)</t>
  </si>
  <si>
    <t>Other current assets</t>
  </si>
  <si>
    <t>TOTAL ASSETS</t>
  </si>
  <si>
    <t>EQUITY AND LIABILITIES</t>
  </si>
  <si>
    <t xml:space="preserve">EQUITY  </t>
  </si>
  <si>
    <t>Equity and Share Capital</t>
  </si>
  <si>
    <t>Other equity</t>
  </si>
  <si>
    <t>LIABILITIES</t>
  </si>
  <si>
    <t>Financial Liabilities</t>
  </si>
  <si>
    <t>A(i)</t>
  </si>
  <si>
    <t>Borrowings</t>
  </si>
  <si>
    <t>A(ii)</t>
  </si>
  <si>
    <t>Lease Liabilites</t>
  </si>
  <si>
    <t>A(iii)</t>
  </si>
  <si>
    <t>Other financial liabilites</t>
  </si>
  <si>
    <t>Provisions</t>
  </si>
  <si>
    <t>Deffered Tax Liabilities(Net)</t>
  </si>
  <si>
    <t>CURRENT LIABILITIES</t>
  </si>
  <si>
    <t>NON-CURRENT LIABILITIES</t>
  </si>
  <si>
    <t>Trade payables</t>
  </si>
  <si>
    <t>Total outstanding dues due to MSMEs</t>
  </si>
  <si>
    <t>Tottal outstanding dues of creditors of creditors other than MSMEs</t>
  </si>
  <si>
    <t>Other current liabilities</t>
  </si>
  <si>
    <t>Current Tax Liabilites</t>
  </si>
  <si>
    <t>TOTAL EQUITY AND LIABILITES</t>
  </si>
  <si>
    <t xml:space="preserve">TOTAL EQUITY   </t>
  </si>
  <si>
    <t>TOTAL CURRENT ASSETS</t>
  </si>
  <si>
    <t>TOTAL NON- CURRENT ASSETS</t>
  </si>
  <si>
    <t>TOTAL NON-CURRENT LIABILITIES</t>
  </si>
  <si>
    <t>TOTAL CURRENT LIABILITIES</t>
  </si>
  <si>
    <t>rs. Crores</t>
  </si>
  <si>
    <t>Revenue from operations</t>
  </si>
  <si>
    <t>Other Income</t>
  </si>
  <si>
    <t>TOTAL INCOME</t>
  </si>
  <si>
    <t>EXPENSES</t>
  </si>
  <si>
    <t>Cost of materials consumed</t>
  </si>
  <si>
    <t>Purchases of Stock-in-trade</t>
  </si>
  <si>
    <t>Changes in inventories of finished goods, Stock in trade, WIP and intermediates</t>
  </si>
  <si>
    <t>Excise Duty</t>
  </si>
  <si>
    <t>Employee benefits expense</t>
  </si>
  <si>
    <t>Depreciation and ammortization expenses</t>
  </si>
  <si>
    <t>Other expenses</t>
  </si>
  <si>
    <t>TOTAL EXPENSES</t>
  </si>
  <si>
    <t>PROFIT BEFORE EXCEPTIONAL ITEMS AND TAX</t>
  </si>
  <si>
    <t>Exceptional Items</t>
  </si>
  <si>
    <t>TAX EXPENSE</t>
  </si>
  <si>
    <t>Current Tax</t>
  </si>
  <si>
    <t>Deffered Tax</t>
  </si>
  <si>
    <t>PROFIT FOR THE YEAR</t>
  </si>
  <si>
    <t>PROFIT BEFORE TAX</t>
  </si>
  <si>
    <t>OTHER COMPREHENSIVE INCOME</t>
  </si>
  <si>
    <t>Remeasurement of the defined benefit plans</t>
  </si>
  <si>
    <t>Equity instruments through OCI</t>
  </si>
  <si>
    <t>Effective portion of gains/(losses) on designated portion of hedging instruments in a cash-flow hedge</t>
  </si>
  <si>
    <t>(i) Items that will not be reclassified into profit or loss:</t>
  </si>
  <si>
    <t>(ii) Income Tax related to A(i)</t>
  </si>
  <si>
    <t>(i) Items that will  be reclassified into profit or loss:</t>
  </si>
  <si>
    <t>(ii) Income Tax related to B(i)</t>
  </si>
  <si>
    <t>EPS Basic</t>
  </si>
  <si>
    <t>EPS Diluted</t>
  </si>
  <si>
    <t>Finance costs</t>
  </si>
  <si>
    <t>NET INCOME</t>
  </si>
  <si>
    <t>A. Casflow from Operating Activities</t>
  </si>
  <si>
    <t>Adjustments:</t>
  </si>
  <si>
    <t xml:space="preserve">Depreciation and ammortization </t>
  </si>
  <si>
    <t>Share based payments to employees</t>
  </si>
  <si>
    <t>Interest Income</t>
  </si>
  <si>
    <t>Dividend Income</t>
  </si>
  <si>
    <t>Loss PP&amp;E- Net</t>
  </si>
  <si>
    <t>Doubtful and bad debts</t>
  </si>
  <si>
    <t>Doubtful and bad advances, loans and deposits</t>
  </si>
  <si>
    <t>Impairment of investment in joint venture</t>
  </si>
  <si>
    <t>Net (gain)/loss arising on financial instruments mandatorily measured at fair value through profit or loss</t>
  </si>
  <si>
    <t>Foreign currency translations and transaction</t>
  </si>
  <si>
    <t>OPERATING PROFIT BEFORE WORKING CAPITAL CHANGES</t>
  </si>
  <si>
    <t>Trade receivables, advances and other assets</t>
  </si>
  <si>
    <t>Trade payables, other liabilities</t>
  </si>
  <si>
    <t>CASH GENERATED FROM OPERATIONS</t>
  </si>
  <si>
    <t>Income Tax Paid</t>
  </si>
  <si>
    <t>NET CASH FROM OPERATING ACTIVITIES</t>
  </si>
  <si>
    <t>B. Cashflow from Investing Activities</t>
  </si>
  <si>
    <t>Purchases of PP&amp;E, Intangibles, ROU asset</t>
  </si>
  <si>
    <t>Sale of PP&amp;E</t>
  </si>
  <si>
    <t>Purchase of current investments</t>
  </si>
  <si>
    <t>Sale/Redemption of current investments</t>
  </si>
  <si>
    <t>Payments towards business combination</t>
  </si>
  <si>
    <t>Investment in subsidiaries</t>
  </si>
  <si>
    <t>Investment in associate</t>
  </si>
  <si>
    <t>Purchase of non-current investments</t>
  </si>
  <si>
    <t>Redemption proceeds of non-current inv.</t>
  </si>
  <si>
    <t>Interest Received</t>
  </si>
  <si>
    <t>Investment in Bank deposits (original maturity -more than 3 months)</t>
  </si>
  <si>
    <t>Redemption/ maturity of bank deposits (original maturity- more than 3 months)</t>
  </si>
  <si>
    <t>Investment in deposit with housing finance companies</t>
  </si>
  <si>
    <t>Redemption/maturity of deposit with housing finance companies</t>
  </si>
  <si>
    <t>Loans Given</t>
  </si>
  <si>
    <t>Loans Realised</t>
  </si>
  <si>
    <t>NET CASH FROM/(USED IN) INVESTING ACTIVITIES</t>
  </si>
  <si>
    <t>C. Cashflow from financing activities</t>
  </si>
  <si>
    <t>Proceeds from issue of share capital</t>
  </si>
  <si>
    <t>Repayment of non-current borrowings</t>
  </si>
  <si>
    <t>Lease payment</t>
  </si>
  <si>
    <t>Interest paid</t>
  </si>
  <si>
    <t>Net inc/(dec.) in statuatory restricted accounts balances</t>
  </si>
  <si>
    <t>Dividend paid</t>
  </si>
  <si>
    <t>Dividend distribution tax (paid)/ refund received</t>
  </si>
  <si>
    <t>NET CASHFLOW FROM FINANCING ACTIVITIES</t>
  </si>
  <si>
    <t>NET CHANGE IN CASH/CASH EQUIVALENTS</t>
  </si>
  <si>
    <t>OPENING CASH/EQUIVALENTS</t>
  </si>
  <si>
    <t>CASH FROM BUSINESS COMBINATION</t>
  </si>
  <si>
    <t>CLOSING CASH AND CASH EQUIVALENTS</t>
  </si>
  <si>
    <t>FY2023</t>
  </si>
  <si>
    <t>FY2022</t>
  </si>
  <si>
    <t>FY2024</t>
  </si>
  <si>
    <t>FY2025</t>
  </si>
  <si>
    <t>FY2026</t>
  </si>
  <si>
    <t>(re-investment Rate)</t>
  </si>
  <si>
    <t>Income Tax Asset</t>
  </si>
  <si>
    <t>CHECK</t>
  </si>
  <si>
    <t>EBIT Net of taxes</t>
  </si>
  <si>
    <t>Estimating Operating Earnings (Rs.crores)</t>
  </si>
  <si>
    <t>1. Other Income</t>
  </si>
  <si>
    <t>Net on disposal of subsidiary</t>
  </si>
  <si>
    <t>2.Exceptional Items</t>
  </si>
  <si>
    <t>2. Goodwill, Intangibles</t>
  </si>
  <si>
    <t>Date</t>
  </si>
  <si>
    <t>1. Investments</t>
  </si>
  <si>
    <t>3. Others</t>
  </si>
  <si>
    <t>in crores</t>
  </si>
  <si>
    <t>Year</t>
  </si>
  <si>
    <t>Dividends paid</t>
  </si>
  <si>
    <t>ROE</t>
  </si>
  <si>
    <t>Retention Ratio</t>
  </si>
  <si>
    <t>1. Other Expenses</t>
  </si>
  <si>
    <t>Payout Ratio</t>
  </si>
  <si>
    <t>Average Payout Ratio</t>
  </si>
  <si>
    <t>Growth Rate</t>
  </si>
  <si>
    <t>Dividend value</t>
  </si>
  <si>
    <t>Intrinsic Share Price</t>
  </si>
  <si>
    <t>N/A</t>
  </si>
  <si>
    <t>ITC value</t>
  </si>
  <si>
    <t>Undervalued</t>
  </si>
  <si>
    <t xml:space="preserve"> BALANCE SHEET </t>
  </si>
  <si>
    <t>Financial Assets</t>
  </si>
  <si>
    <t>Total Assets</t>
  </si>
  <si>
    <t>Total Current Assets</t>
  </si>
  <si>
    <t>Total Non-Current Liabilities</t>
  </si>
  <si>
    <r>
      <rPr>
        <b/>
        <sz val="12"/>
        <color theme="1"/>
        <rFont val="Times New Roman"/>
        <family val="1"/>
      </rPr>
      <t>Total Equity</t>
    </r>
    <r>
      <rPr>
        <sz val="12"/>
        <color theme="1"/>
        <rFont val="Calibri"/>
        <family val="2"/>
        <scheme val="minor"/>
      </rPr>
      <t xml:space="preserve"> </t>
    </r>
  </si>
  <si>
    <t>Total Current Liabilities</t>
  </si>
  <si>
    <t>INCOME STATEMENT</t>
  </si>
  <si>
    <t>TOTAL NON CURRENT ASSET</t>
  </si>
  <si>
    <t>VERTICAL ANALYSIS</t>
  </si>
  <si>
    <t>Years</t>
  </si>
  <si>
    <t>Liquidity Ratios</t>
  </si>
  <si>
    <t>Leverage Ratios</t>
  </si>
  <si>
    <t xml:space="preserve">Debt/Equity </t>
  </si>
  <si>
    <t>Coverage Ratio</t>
  </si>
  <si>
    <t>Cash Coverage</t>
  </si>
  <si>
    <t>Interest Coverage</t>
  </si>
  <si>
    <t>Profitability Ratios</t>
  </si>
  <si>
    <t>Gross Margin Ratios</t>
  </si>
  <si>
    <t>Net Profit Margin</t>
  </si>
  <si>
    <t>ROA</t>
  </si>
  <si>
    <t>Market Value Ratios</t>
  </si>
  <si>
    <t>Book Value Per Share</t>
  </si>
  <si>
    <t>EPS</t>
  </si>
  <si>
    <t>EPS(diluted)</t>
  </si>
  <si>
    <t>P.E ratio</t>
  </si>
  <si>
    <t>Efficiency Ratios</t>
  </si>
  <si>
    <t>Asset Turnover Ratio</t>
  </si>
  <si>
    <t>Inventory Turnover Ratio</t>
  </si>
  <si>
    <t>Days of inventory</t>
  </si>
  <si>
    <t>Quick</t>
  </si>
  <si>
    <t>HUL</t>
  </si>
  <si>
    <t>Return</t>
  </si>
  <si>
    <t>Nestle</t>
  </si>
  <si>
    <t>Parle</t>
  </si>
  <si>
    <t>Dabur</t>
  </si>
  <si>
    <t>Marico</t>
  </si>
  <si>
    <t>Emami</t>
  </si>
  <si>
    <t>TCS</t>
  </si>
  <si>
    <t>Godrej</t>
  </si>
  <si>
    <t>Market</t>
  </si>
  <si>
    <t>Company Name</t>
  </si>
  <si>
    <t>Debt/Equity ratio</t>
  </si>
  <si>
    <t>Levered Beta</t>
  </si>
  <si>
    <t>Colgate Palmolitive</t>
  </si>
  <si>
    <t>Britannia</t>
  </si>
  <si>
    <t>Growth Ratios</t>
  </si>
  <si>
    <t>3yr CAGR sales</t>
  </si>
  <si>
    <t>3yr CAGR net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</si>
</sst>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5" formatCode="_([$₹-4009]* #,##0.00_);_([$₹-4009]* \(#,##0.00\);_([$₹-4009]* &quot;-&quot;??_);_(@_)"/>
    <numFmt numFmtId="166" formatCode="0.00_);[Red]\(0.00\)"/>
    <numFmt numFmtId="167" formatCode="&quot;₹&quot;#,##0.00"/>
    <numFmt numFmtId="168" formatCode="0.0%"/>
  </numFmts>
  <fonts count="29"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u/>
      <sz val="11"/>
      <color theme="1"/>
      <name val="Calibri"/>
      <family val="2"/>
      <scheme val="minor"/>
    </font>
    <font>
      <sz val="11"/>
      <color theme="1"/>
      <name val="Calibri"/>
      <family val="2"/>
      <scheme val="minor"/>
    </font>
    <font>
      <sz val="12"/>
      <color theme="1"/>
      <name val="Calibri"/>
      <family val="2"/>
      <scheme val="minor"/>
    </font>
    <font>
      <b/>
      <i/>
      <sz val="12"/>
      <color theme="1"/>
      <name val="Calibri"/>
      <family val="2"/>
      <scheme val="minor"/>
    </font>
    <font>
      <b/>
      <sz val="12"/>
      <color theme="1"/>
      <name val="Calibri"/>
      <family val="2"/>
      <scheme val="minor"/>
    </font>
    <font>
      <sz val="12"/>
      <name val="Calibri"/>
      <family val="2"/>
      <scheme val="minor"/>
    </font>
    <font>
      <b/>
      <sz val="12"/>
      <name val="Calibri"/>
      <family val="2"/>
      <scheme val="minor"/>
    </font>
    <font>
      <b/>
      <i/>
      <sz val="12"/>
      <name val="Calibri"/>
      <family val="2"/>
      <scheme val="minor"/>
    </font>
    <font>
      <b/>
      <sz val="11"/>
      <color theme="1"/>
      <name val="Calibri"/>
      <family val="2"/>
      <scheme val="minor"/>
    </font>
    <font>
      <b/>
      <i/>
      <sz val="11"/>
      <color theme="1"/>
      <name val="Calibri"/>
      <family val="2"/>
      <scheme val="minor"/>
    </font>
    <font>
      <b/>
      <sz val="12"/>
      <color theme="0"/>
      <name val="Calibri"/>
      <family val="2"/>
      <scheme val="minor"/>
    </font>
    <font>
      <sz val="10"/>
      <color rgb="FF000000"/>
      <name val="Tahoma"/>
      <family val="2"/>
    </font>
    <font>
      <b/>
      <sz val="10"/>
      <color rgb="FF000000"/>
      <name val="Tahoma"/>
      <family val="2"/>
    </font>
    <font>
      <sz val="12"/>
      <color rgb="FF006100"/>
      <name val="Calibri"/>
      <family val="2"/>
      <scheme val="minor"/>
    </font>
    <font>
      <b/>
      <sz val="12"/>
      <name val="Times New Roman"/>
      <family val="1"/>
    </font>
    <font>
      <sz val="12"/>
      <color theme="1"/>
      <name val="Times New Roman"/>
      <family val="1"/>
    </font>
    <font>
      <b/>
      <sz val="12"/>
      <color theme="1"/>
      <name val="Times New Roman"/>
      <family val="1"/>
    </font>
    <font>
      <b/>
      <sz val="14"/>
      <color theme="1"/>
      <name val="Times New Roman"/>
      <family val="1"/>
    </font>
    <font>
      <sz val="12"/>
      <color theme="1"/>
      <name val="Calibri"/>
      <family val="1"/>
      <scheme val="minor"/>
    </font>
    <font>
      <sz val="14"/>
      <color rgb="FF333333"/>
      <name val="Arial"/>
      <family val="2"/>
    </font>
    <font>
      <sz val="11"/>
      <color rgb="FF333333"/>
      <name val="Calibri"/>
      <family val="2"/>
      <scheme val="minor"/>
    </font>
    <font>
      <b/>
      <sz val="11"/>
      <color rgb="FF000000"/>
      <name val="Calibri"/>
      <family val="2"/>
      <scheme val="minor"/>
    </font>
    <font>
      <sz val="10"/>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A5A5A5"/>
      </patternFill>
    </fill>
    <fill>
      <patternFill patternType="solid">
        <fgColor rgb="FFC6EFCE"/>
      </patternFill>
    </fill>
    <fill>
      <patternFill patternType="solid">
        <fgColor rgb="FF92D050"/>
        <bgColor indexed="64"/>
      </patternFill>
    </fill>
    <fill>
      <patternFill patternType="solid">
        <fgColor theme="4"/>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bottom style="thin">
        <color indexed="64"/>
      </bottom>
      <diagonal/>
    </border>
    <border>
      <left/>
      <right/>
      <top/>
      <bottom style="medium">
        <color indexed="64"/>
      </bottom>
      <diagonal/>
    </border>
    <border>
      <left/>
      <right/>
      <top style="thin">
        <color indexed="64"/>
      </top>
      <bottom style="medium">
        <color indexed="64"/>
      </bottom>
      <diagonal/>
    </border>
    <border>
      <left style="thin">
        <color indexed="64"/>
      </left>
      <right/>
      <top/>
      <bottom/>
      <diagonal/>
    </border>
    <border>
      <left/>
      <right/>
      <top style="medium">
        <color indexed="64"/>
      </top>
      <bottom/>
      <diagonal/>
    </border>
    <border>
      <left/>
      <right/>
      <top style="medium">
        <color indexed="64"/>
      </top>
      <bottom style="medium">
        <color indexed="64"/>
      </bottom>
      <diagonal/>
    </border>
    <border>
      <left style="double">
        <color rgb="FF3F3F3F"/>
      </left>
      <right style="double">
        <color rgb="FF3F3F3F"/>
      </right>
      <top style="double">
        <color rgb="FF3F3F3F"/>
      </top>
      <bottom style="double">
        <color rgb="FF3F3F3F"/>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5">
    <xf numFmtId="0" fontId="0" fillId="0" borderId="0"/>
    <xf numFmtId="43" fontId="7" fillId="0" borderId="0" applyFont="0" applyFill="0" applyBorder="0" applyAlignment="0" applyProtection="0"/>
    <xf numFmtId="0" fontId="16" fillId="3" borderId="10" applyNumberFormat="0" applyAlignment="0" applyProtection="0"/>
    <xf numFmtId="9" fontId="7" fillId="0" borderId="0" applyFont="0" applyFill="0" applyBorder="0" applyAlignment="0" applyProtection="0"/>
    <xf numFmtId="0" fontId="19" fillId="4" borderId="0" applyNumberFormat="0" applyBorder="0" applyAlignment="0" applyProtection="0"/>
  </cellStyleXfs>
  <cellXfs count="262">
    <xf numFmtId="0" fontId="0" fillId="0" borderId="0" xfId="0"/>
    <xf numFmtId="0" fontId="0" fillId="0" borderId="1" xfId="0" applyBorder="1"/>
    <xf numFmtId="0" fontId="0" fillId="0" borderId="1" xfId="0" applyBorder="1" applyAlignment="1">
      <alignment horizontal="center"/>
    </xf>
    <xf numFmtId="0" fontId="0" fillId="0" borderId="1" xfId="0" applyFill="1" applyBorder="1"/>
    <xf numFmtId="0" fontId="0" fillId="0" borderId="1" xfId="0" applyBorder="1" applyAlignment="1">
      <alignment wrapText="1"/>
    </xf>
    <xf numFmtId="0" fontId="6" fillId="0" borderId="0" xfId="0" applyFont="1"/>
    <xf numFmtId="0" fontId="6" fillId="0" borderId="0" xfId="0" applyFont="1" applyFill="1" applyBorder="1"/>
    <xf numFmtId="0" fontId="6" fillId="0" borderId="2" xfId="0" applyFont="1" applyFill="1" applyBorder="1"/>
    <xf numFmtId="0" fontId="0" fillId="0" borderId="1" xfId="0" applyFill="1" applyBorder="1" applyAlignment="1">
      <alignment wrapText="1"/>
    </xf>
    <xf numFmtId="0" fontId="0" fillId="0" borderId="0" xfId="0" applyBorder="1"/>
    <xf numFmtId="0" fontId="0" fillId="0" borderId="3" xfId="0" applyBorder="1"/>
    <xf numFmtId="0" fontId="10" fillId="0" borderId="0" xfId="0" applyFont="1" applyBorder="1"/>
    <xf numFmtId="0" fontId="8" fillId="0" borderId="0" xfId="0" applyFont="1" applyBorder="1"/>
    <xf numFmtId="0" fontId="12" fillId="0" borderId="0" xfId="0" applyFont="1" applyBorder="1" applyProtection="1">
      <protection hidden="1"/>
    </xf>
    <xf numFmtId="0" fontId="11" fillId="0" borderId="0" xfId="0" applyFont="1" applyBorder="1" applyProtection="1">
      <protection hidden="1"/>
    </xf>
    <xf numFmtId="0" fontId="13" fillId="0" borderId="0" xfId="0" applyFont="1" applyBorder="1" applyProtection="1">
      <protection hidden="1"/>
    </xf>
    <xf numFmtId="0" fontId="8" fillId="0" borderId="0" xfId="0" applyFont="1" applyBorder="1" applyAlignment="1">
      <alignment horizontal="left" indent="1"/>
    </xf>
    <xf numFmtId="0" fontId="5" fillId="0" borderId="0" xfId="0" applyFont="1" applyBorder="1"/>
    <xf numFmtId="49" fontId="0" fillId="0" borderId="0" xfId="0" applyNumberFormat="1"/>
    <xf numFmtId="0" fontId="0" fillId="0" borderId="0" xfId="0" applyFill="1" applyBorder="1"/>
    <xf numFmtId="0" fontId="10" fillId="0" borderId="0" xfId="0" applyFont="1" applyBorder="1" applyAlignment="1">
      <alignment horizontal="left" indent="1"/>
    </xf>
    <xf numFmtId="0" fontId="5" fillId="0" borderId="0" xfId="0" applyFont="1" applyFill="1" applyBorder="1"/>
    <xf numFmtId="0" fontId="5" fillId="0" borderId="0" xfId="0" applyFont="1" applyFill="1" applyBorder="1" applyAlignment="1">
      <alignment wrapText="1"/>
    </xf>
    <xf numFmtId="0" fontId="0" fillId="0" borderId="7" xfId="0" applyBorder="1"/>
    <xf numFmtId="0" fontId="0" fillId="0" borderId="0" xfId="0" applyBorder="1" applyAlignment="1"/>
    <xf numFmtId="0" fontId="6" fillId="0" borderId="0" xfId="0" applyFont="1" applyAlignment="1"/>
    <xf numFmtId="0" fontId="4" fillId="0" borderId="0" xfId="0" applyFont="1" applyBorder="1"/>
    <xf numFmtId="0" fontId="4" fillId="0" borderId="0" xfId="0" applyFont="1" applyBorder="1" applyAlignment="1">
      <alignment wrapText="1"/>
    </xf>
    <xf numFmtId="0" fontId="0" fillId="0" borderId="0" xfId="0" applyAlignment="1">
      <alignment vertical="center"/>
    </xf>
    <xf numFmtId="0" fontId="5" fillId="0" borderId="0" xfId="0" applyFont="1" applyBorder="1" applyAlignment="1">
      <alignment vertical="center"/>
    </xf>
    <xf numFmtId="0" fontId="0" fillId="0" borderId="0" xfId="0" applyFill="1" applyBorder="1" applyAlignment="1">
      <alignment vertical="center"/>
    </xf>
    <xf numFmtId="0" fontId="0" fillId="0" borderId="0" xfId="0" applyBorder="1" applyAlignment="1">
      <alignment vertical="center"/>
    </xf>
    <xf numFmtId="0" fontId="4" fillId="0" borderId="0" xfId="0" applyFont="1" applyBorder="1" applyAlignment="1">
      <alignment vertical="center" wrapText="1"/>
    </xf>
    <xf numFmtId="0" fontId="11" fillId="0" borderId="0" xfId="0" applyFont="1" applyBorder="1" applyAlignment="1" applyProtection="1">
      <alignment vertical="center"/>
      <protection hidden="1"/>
    </xf>
    <xf numFmtId="0" fontId="14" fillId="0" borderId="0" xfId="0" applyFont="1" applyBorder="1"/>
    <xf numFmtId="0" fontId="10" fillId="0" borderId="0" xfId="0" applyFont="1" applyFill="1" applyBorder="1"/>
    <xf numFmtId="0" fontId="15" fillId="2" borderId="0" xfId="0" applyFont="1" applyFill="1"/>
    <xf numFmtId="0" fontId="0" fillId="0" borderId="0" xfId="0" applyFill="1"/>
    <xf numFmtId="0" fontId="0" fillId="0" borderId="0" xfId="0" applyBorder="1" applyAlignment="1">
      <alignment vertical="center" wrapText="1"/>
    </xf>
    <xf numFmtId="0" fontId="12" fillId="0" borderId="0" xfId="0" applyFont="1" applyBorder="1" applyAlignment="1" applyProtection="1">
      <alignment vertical="center"/>
      <protection hidden="1"/>
    </xf>
    <xf numFmtId="0" fontId="4" fillId="0" borderId="0" xfId="0" applyFont="1" applyFill="1" applyBorder="1" applyAlignment="1"/>
    <xf numFmtId="0" fontId="10" fillId="0" borderId="0" xfId="0" applyFont="1" applyBorder="1" applyAlignment="1">
      <alignment vertical="center"/>
    </xf>
    <xf numFmtId="0" fontId="10" fillId="0" borderId="8" xfId="0" applyFont="1" applyFill="1" applyBorder="1"/>
    <xf numFmtId="0" fontId="10" fillId="2" borderId="8" xfId="0" applyFont="1" applyFill="1" applyBorder="1" applyAlignment="1">
      <alignment vertical="center" wrapText="1"/>
    </xf>
    <xf numFmtId="0" fontId="9" fillId="2" borderId="8" xfId="0" applyFont="1" applyFill="1" applyBorder="1"/>
    <xf numFmtId="0" fontId="15" fillId="2" borderId="8" xfId="0" applyFont="1" applyFill="1" applyBorder="1"/>
    <xf numFmtId="0" fontId="10" fillId="2" borderId="8" xfId="0" applyFont="1" applyFill="1" applyBorder="1"/>
    <xf numFmtId="0" fontId="9" fillId="2" borderId="0" xfId="0" applyFont="1" applyFill="1" applyBorder="1" applyAlignment="1">
      <alignment vertical="center"/>
    </xf>
    <xf numFmtId="0" fontId="14" fillId="2" borderId="8" xfId="0" applyFont="1" applyFill="1" applyBorder="1"/>
    <xf numFmtId="166" fontId="0" fillId="0" borderId="0" xfId="0" applyNumberFormat="1" applyBorder="1"/>
    <xf numFmtId="166" fontId="0" fillId="0" borderId="8" xfId="0" applyNumberFormat="1" applyFill="1" applyBorder="1"/>
    <xf numFmtId="166" fontId="0" fillId="0" borderId="0" xfId="0" applyNumberFormat="1" applyFill="1" applyBorder="1"/>
    <xf numFmtId="166" fontId="0" fillId="0" borderId="0" xfId="0" applyNumberFormat="1" applyBorder="1" applyAlignment="1">
      <alignment vertical="center"/>
    </xf>
    <xf numFmtId="166" fontId="0" fillId="0" borderId="0" xfId="0" applyNumberFormat="1" applyAlignment="1">
      <alignment vertical="center"/>
    </xf>
    <xf numFmtId="166" fontId="0" fillId="0" borderId="0" xfId="0" applyNumberFormat="1" applyFill="1" applyBorder="1" applyAlignment="1">
      <alignment vertical="center"/>
    </xf>
    <xf numFmtId="166" fontId="0" fillId="2" borderId="8" xfId="0" applyNumberFormat="1" applyFill="1" applyBorder="1" applyAlignment="1">
      <alignment vertical="center"/>
    </xf>
    <xf numFmtId="166" fontId="0" fillId="2" borderId="8" xfId="0" applyNumberFormat="1" applyFill="1" applyBorder="1"/>
    <xf numFmtId="166" fontId="4" fillId="0" borderId="0" xfId="0" applyNumberFormat="1" applyFont="1" applyFill="1" applyBorder="1" applyAlignment="1"/>
    <xf numFmtId="166" fontId="0" fillId="0" borderId="0" xfId="0" applyNumberFormat="1" applyBorder="1" applyAlignment="1"/>
    <xf numFmtId="166" fontId="14" fillId="2" borderId="8" xfId="0" applyNumberFormat="1" applyFont="1" applyFill="1" applyBorder="1"/>
    <xf numFmtId="166" fontId="15" fillId="2" borderId="8" xfId="0" applyNumberFormat="1" applyFont="1" applyFill="1" applyBorder="1"/>
    <xf numFmtId="166" fontId="0" fillId="0" borderId="0" xfId="0" applyNumberFormat="1" applyFill="1" applyBorder="1" applyAlignment="1">
      <alignment horizontal="right" vertical="center"/>
    </xf>
    <xf numFmtId="166" fontId="0" fillId="0" borderId="4" xfId="0" applyNumberFormat="1" applyFill="1" applyBorder="1"/>
    <xf numFmtId="166" fontId="0" fillId="0" borderId="4" xfId="0" applyNumberFormat="1" applyBorder="1"/>
    <xf numFmtId="166" fontId="14" fillId="0" borderId="0" xfId="0" applyNumberFormat="1" applyFont="1" applyFill="1" applyBorder="1"/>
    <xf numFmtId="166" fontId="14" fillId="0" borderId="6" xfId="0" applyNumberFormat="1" applyFont="1" applyFill="1" applyBorder="1" applyAlignment="1">
      <alignment vertical="center"/>
    </xf>
    <xf numFmtId="166" fontId="15" fillId="2" borderId="0" xfId="0" applyNumberFormat="1" applyFont="1" applyFill="1" applyBorder="1" applyAlignment="1">
      <alignment vertical="center"/>
    </xf>
    <xf numFmtId="166" fontId="14" fillId="0" borderId="0" xfId="0" applyNumberFormat="1" applyFont="1" applyBorder="1"/>
    <xf numFmtId="166" fontId="0" fillId="0" borderId="0" xfId="0" applyNumberFormat="1"/>
    <xf numFmtId="166" fontId="0" fillId="0" borderId="5" xfId="0" applyNumberFormat="1" applyFill="1" applyBorder="1"/>
    <xf numFmtId="166" fontId="0" fillId="0" borderId="5" xfId="0" applyNumberFormat="1" applyBorder="1"/>
    <xf numFmtId="166" fontId="14" fillId="0" borderId="5" xfId="0" applyNumberFormat="1" applyFont="1" applyBorder="1"/>
    <xf numFmtId="166" fontId="15" fillId="2" borderId="0" xfId="0" applyNumberFormat="1" applyFont="1" applyFill="1"/>
    <xf numFmtId="0" fontId="0" fillId="0" borderId="0" xfId="0" applyFill="1" applyBorder="1" applyAlignment="1">
      <alignment wrapText="1"/>
    </xf>
    <xf numFmtId="0" fontId="10" fillId="0" borderId="8" xfId="0" applyFont="1" applyFill="1" applyBorder="1" applyAlignment="1">
      <alignment vertical="center"/>
    </xf>
    <xf numFmtId="166" fontId="0" fillId="0" borderId="8" xfId="0" applyNumberFormat="1" applyFill="1" applyBorder="1" applyAlignment="1">
      <alignment vertical="center"/>
    </xf>
    <xf numFmtId="0" fontId="4" fillId="0" borderId="0" xfId="0" applyFont="1" applyBorder="1" applyAlignment="1">
      <alignment vertical="center"/>
    </xf>
    <xf numFmtId="0" fontId="0" fillId="0" borderId="0" xfId="0" applyFont="1" applyBorder="1" applyAlignment="1">
      <alignment vertical="center" wrapText="1"/>
    </xf>
    <xf numFmtId="0" fontId="14" fillId="0" borderId="0" xfId="0" applyFont="1" applyBorder="1" applyAlignment="1">
      <alignment vertical="center"/>
    </xf>
    <xf numFmtId="0" fontId="0" fillId="0" borderId="0" xfId="0" applyFont="1" applyFill="1" applyBorder="1" applyAlignment="1">
      <alignment vertical="center" wrapText="1"/>
    </xf>
    <xf numFmtId="166" fontId="0" fillId="0" borderId="0" xfId="0" applyNumberFormat="1" applyFont="1" applyBorder="1" applyAlignment="1">
      <alignment vertical="center"/>
    </xf>
    <xf numFmtId="166" fontId="0" fillId="0" borderId="0" xfId="0" applyNumberFormat="1" applyFont="1" applyBorder="1" applyAlignment="1">
      <alignment horizontal="right" vertical="center"/>
    </xf>
    <xf numFmtId="0" fontId="0" fillId="0" borderId="0" xfId="0" applyFill="1" applyBorder="1" applyAlignment="1">
      <alignment vertical="center" wrapText="1"/>
    </xf>
    <xf numFmtId="0" fontId="5" fillId="0" borderId="0" xfId="0" applyFont="1" applyFill="1" applyBorder="1" applyAlignment="1">
      <alignment vertical="center"/>
    </xf>
    <xf numFmtId="0" fontId="13" fillId="0" borderId="0" xfId="0" applyFont="1" applyBorder="1" applyAlignment="1" applyProtection="1">
      <alignment vertical="center"/>
      <protection hidden="1"/>
    </xf>
    <xf numFmtId="0" fontId="14" fillId="0" borderId="0" xfId="0" applyFont="1"/>
    <xf numFmtId="166" fontId="0" fillId="0" borderId="1" xfId="0" applyNumberFormat="1" applyBorder="1"/>
    <xf numFmtId="0" fontId="3" fillId="0" borderId="0" xfId="0" applyFont="1" applyFill="1" applyBorder="1" applyAlignment="1">
      <alignment vertical="center"/>
    </xf>
    <xf numFmtId="166" fontId="14" fillId="0" borderId="11" xfId="0" applyNumberFormat="1" applyFont="1" applyFill="1" applyBorder="1"/>
    <xf numFmtId="0" fontId="16" fillId="3" borderId="10" xfId="2"/>
    <xf numFmtId="166" fontId="16" fillId="3" borderId="10" xfId="2" applyNumberFormat="1"/>
    <xf numFmtId="10" fontId="0" fillId="0" borderId="1" xfId="0" applyNumberFormat="1" applyBorder="1"/>
    <xf numFmtId="0" fontId="0" fillId="0" borderId="2" xfId="0" applyFill="1" applyBorder="1"/>
    <xf numFmtId="166" fontId="0" fillId="0" borderId="12" xfId="0" applyNumberFormat="1" applyBorder="1"/>
    <xf numFmtId="10" fontId="0" fillId="0" borderId="1" xfId="3" applyNumberFormat="1" applyFont="1" applyBorder="1"/>
    <xf numFmtId="2" fontId="0" fillId="0" borderId="1" xfId="0" applyNumberFormat="1" applyBorder="1"/>
    <xf numFmtId="9" fontId="0" fillId="0" borderId="1" xfId="3" applyFont="1" applyBorder="1"/>
    <xf numFmtId="165" fontId="0" fillId="0" borderId="1" xfId="0" applyNumberFormat="1" applyBorder="1"/>
    <xf numFmtId="167" fontId="0" fillId="0" borderId="1" xfId="0" applyNumberFormat="1" applyBorder="1"/>
    <xf numFmtId="4" fontId="16" fillId="3" borderId="10" xfId="2" applyNumberFormat="1"/>
    <xf numFmtId="165" fontId="16" fillId="3" borderId="10" xfId="2" applyNumberFormat="1"/>
    <xf numFmtId="2" fontId="16" fillId="3" borderId="10" xfId="2" applyNumberFormat="1"/>
    <xf numFmtId="4" fontId="0" fillId="0" borderId="0" xfId="0" applyNumberFormat="1"/>
    <xf numFmtId="9" fontId="0" fillId="0" borderId="0" xfId="3" applyFont="1" applyBorder="1" applyAlignment="1">
      <alignment vertical="center"/>
    </xf>
    <xf numFmtId="0" fontId="15" fillId="2" borderId="1" xfId="0" applyFont="1" applyFill="1" applyBorder="1"/>
    <xf numFmtId="165" fontId="15" fillId="2" borderId="1" xfId="0" applyNumberFormat="1" applyFont="1" applyFill="1" applyBorder="1"/>
    <xf numFmtId="2" fontId="15" fillId="2" borderId="1" xfId="0" applyNumberFormat="1" applyFont="1" applyFill="1" applyBorder="1"/>
    <xf numFmtId="0" fontId="0" fillId="0" borderId="1" xfId="0" applyBorder="1" applyAlignment="1">
      <alignment horizontal="right"/>
    </xf>
    <xf numFmtId="0" fontId="19" fillId="4" borderId="0" xfId="4"/>
    <xf numFmtId="0" fontId="2" fillId="0" borderId="0" xfId="0" applyFont="1" applyBorder="1"/>
    <xf numFmtId="0" fontId="10" fillId="0" borderId="13" xfId="0" applyFont="1" applyBorder="1" applyAlignment="1">
      <alignment horizontal="center"/>
    </xf>
    <xf numFmtId="0" fontId="0" fillId="0" borderId="21" xfId="0" applyBorder="1"/>
    <xf numFmtId="10" fontId="0" fillId="0" borderId="21" xfId="3" applyNumberFormat="1" applyFont="1" applyBorder="1" applyAlignment="1">
      <alignment horizontal="center"/>
    </xf>
    <xf numFmtId="10" fontId="10" fillId="0" borderId="21" xfId="3" applyNumberFormat="1" applyFont="1" applyBorder="1" applyAlignment="1">
      <alignment horizontal="center"/>
    </xf>
    <xf numFmtId="0" fontId="0" fillId="0" borderId="21" xfId="0" applyBorder="1" applyAlignment="1">
      <alignment horizontal="center"/>
    </xf>
    <xf numFmtId="10" fontId="10" fillId="0" borderId="22" xfId="3" applyNumberFormat="1" applyFont="1" applyBorder="1" applyAlignment="1">
      <alignment horizontal="center"/>
    </xf>
    <xf numFmtId="10" fontId="7" fillId="0" borderId="21" xfId="3" applyNumberFormat="1" applyFont="1" applyBorder="1" applyAlignment="1">
      <alignment horizontal="center"/>
    </xf>
    <xf numFmtId="0" fontId="22" fillId="0" borderId="13" xfId="0" applyFont="1" applyBorder="1" applyAlignment="1">
      <alignment horizontal="center"/>
    </xf>
    <xf numFmtId="0" fontId="10" fillId="0" borderId="9" xfId="0" applyFont="1" applyBorder="1" applyAlignment="1">
      <alignment horizontal="center"/>
    </xf>
    <xf numFmtId="0" fontId="0" fillId="0" borderId="20" xfId="0" applyBorder="1"/>
    <xf numFmtId="168" fontId="10" fillId="0" borderId="21" xfId="3" applyNumberFormat="1" applyFont="1" applyBorder="1" applyAlignment="1">
      <alignment horizontal="center"/>
    </xf>
    <xf numFmtId="10" fontId="0" fillId="0" borderId="21" xfId="3" applyNumberFormat="1" applyFont="1" applyBorder="1"/>
    <xf numFmtId="168" fontId="10" fillId="0" borderId="21" xfId="3" applyNumberFormat="1" applyFont="1" applyBorder="1"/>
    <xf numFmtId="10" fontId="10" fillId="0" borderId="21" xfId="3" applyNumberFormat="1" applyFont="1" applyBorder="1"/>
    <xf numFmtId="10" fontId="10" fillId="0" borderId="22" xfId="3" applyNumberFormat="1" applyFont="1" applyBorder="1"/>
    <xf numFmtId="2" fontId="0" fillId="0" borderId="0" xfId="0" applyNumberFormat="1"/>
    <xf numFmtId="0" fontId="14" fillId="6" borderId="13" xfId="0" applyFont="1" applyFill="1" applyBorder="1"/>
    <xf numFmtId="2" fontId="0" fillId="0" borderId="3" xfId="0" applyNumberFormat="1" applyBorder="1"/>
    <xf numFmtId="0" fontId="0" fillId="0" borderId="12" xfId="0" applyBorder="1"/>
    <xf numFmtId="2" fontId="0" fillId="0" borderId="2" xfId="0" applyNumberFormat="1" applyBorder="1"/>
    <xf numFmtId="0" fontId="25" fillId="0" borderId="0" xfId="0" applyFont="1"/>
    <xf numFmtId="0" fontId="26" fillId="0" borderId="0" xfId="0" applyFont="1"/>
    <xf numFmtId="2" fontId="26" fillId="0" borderId="1" xfId="0" applyNumberFormat="1" applyFont="1" applyBorder="1"/>
    <xf numFmtId="10" fontId="0" fillId="0" borderId="12" xfId="3" applyNumberFormat="1" applyFont="1" applyBorder="1"/>
    <xf numFmtId="10" fontId="0" fillId="0" borderId="3" xfId="0" applyNumberFormat="1" applyBorder="1"/>
    <xf numFmtId="167" fontId="0" fillId="0" borderId="12" xfId="0" applyNumberFormat="1" applyBorder="1"/>
    <xf numFmtId="0" fontId="0" fillId="0" borderId="28" xfId="0" applyBorder="1"/>
    <xf numFmtId="2" fontId="0" fillId="0" borderId="29" xfId="0" applyNumberFormat="1" applyBorder="1"/>
    <xf numFmtId="0" fontId="0" fillId="0" borderId="30" xfId="0" applyBorder="1"/>
    <xf numFmtId="2" fontId="0" fillId="0" borderId="31" xfId="0" applyNumberFormat="1" applyBorder="1"/>
    <xf numFmtId="0" fontId="0" fillId="0" borderId="32" xfId="0" applyBorder="1"/>
    <xf numFmtId="2" fontId="0" fillId="0" borderId="33" xfId="0" applyNumberFormat="1" applyBorder="1"/>
    <xf numFmtId="0" fontId="0" fillId="0" borderId="28" xfId="0" applyFill="1" applyBorder="1"/>
    <xf numFmtId="0" fontId="0" fillId="0" borderId="30" xfId="0" applyFill="1" applyBorder="1"/>
    <xf numFmtId="0" fontId="0" fillId="0" borderId="34" xfId="0" applyFill="1" applyBorder="1"/>
    <xf numFmtId="10" fontId="0" fillId="0" borderId="35" xfId="3" applyNumberFormat="1" applyFont="1" applyBorder="1"/>
    <xf numFmtId="10" fontId="0" fillId="0" borderId="29" xfId="3" applyNumberFormat="1" applyFont="1" applyBorder="1"/>
    <xf numFmtId="10" fontId="0" fillId="0" borderId="31" xfId="0" applyNumberFormat="1" applyBorder="1"/>
    <xf numFmtId="167" fontId="0" fillId="0" borderId="35" xfId="0" applyNumberFormat="1" applyBorder="1"/>
    <xf numFmtId="0" fontId="0" fillId="0" borderId="29" xfId="0" applyBorder="1"/>
    <xf numFmtId="2" fontId="26" fillId="0" borderId="29" xfId="0" applyNumberFormat="1" applyFont="1" applyBorder="1"/>
    <xf numFmtId="0" fontId="0" fillId="0" borderId="36" xfId="0" applyFill="1" applyBorder="1"/>
    <xf numFmtId="2" fontId="0" fillId="0" borderId="37" xfId="0" applyNumberFormat="1" applyBorder="1"/>
    <xf numFmtId="2" fontId="0" fillId="0" borderId="38" xfId="0" applyNumberFormat="1" applyBorder="1"/>
    <xf numFmtId="0" fontId="14" fillId="2" borderId="8" xfId="0" applyFont="1" applyFill="1" applyBorder="1" applyAlignment="1">
      <alignment vertical="center"/>
    </xf>
    <xf numFmtId="166" fontId="14" fillId="2" borderId="8" xfId="0" applyNumberFormat="1" applyFont="1" applyFill="1" applyBorder="1" applyAlignment="1">
      <alignment vertical="center"/>
    </xf>
    <xf numFmtId="0" fontId="14" fillId="2" borderId="8" xfId="0" applyFont="1" applyFill="1" applyBorder="1" applyAlignment="1">
      <alignment vertical="center" wrapText="1"/>
    </xf>
    <xf numFmtId="0" fontId="14" fillId="2" borderId="9" xfId="0" applyFont="1" applyFill="1" applyBorder="1"/>
    <xf numFmtId="166" fontId="0" fillId="2" borderId="9" xfId="0" applyNumberFormat="1" applyFill="1" applyBorder="1"/>
    <xf numFmtId="0" fontId="26" fillId="0" borderId="1" xfId="0" applyFont="1" applyBorder="1"/>
    <xf numFmtId="4" fontId="28" fillId="0" borderId="39" xfId="0" applyNumberFormat="1" applyFont="1" applyBorder="1" applyAlignment="1">
      <alignment horizontal="right"/>
    </xf>
    <xf numFmtId="0" fontId="28" fillId="0" borderId="39" xfId="0" applyFont="1" applyBorder="1" applyAlignment="1">
      <alignment horizontal="right"/>
    </xf>
    <xf numFmtId="4" fontId="28" fillId="0" borderId="40" xfId="0" applyNumberFormat="1" applyFont="1" applyBorder="1" applyAlignment="1">
      <alignment horizontal="right"/>
    </xf>
    <xf numFmtId="4" fontId="28" fillId="0" borderId="41" xfId="0" applyNumberFormat="1" applyFont="1" applyBorder="1" applyAlignment="1">
      <alignment horizontal="right"/>
    </xf>
    <xf numFmtId="0" fontId="28" fillId="0" borderId="41" xfId="0" applyFont="1" applyBorder="1" applyAlignment="1">
      <alignment horizontal="right"/>
    </xf>
    <xf numFmtId="0" fontId="14" fillId="0" borderId="1" xfId="0" applyFont="1" applyBorder="1"/>
    <xf numFmtId="4" fontId="28" fillId="0" borderId="43" xfId="0" applyNumberFormat="1" applyFont="1" applyBorder="1" applyAlignment="1">
      <alignment horizontal="right"/>
    </xf>
    <xf numFmtId="10" fontId="0" fillId="0" borderId="12" xfId="0" applyNumberFormat="1" applyBorder="1"/>
    <xf numFmtId="4" fontId="28" fillId="0" borderId="44" xfId="0" applyNumberFormat="1" applyFont="1" applyBorder="1" applyAlignment="1">
      <alignment horizontal="right"/>
    </xf>
    <xf numFmtId="0" fontId="28" fillId="0" borderId="44" xfId="0" applyFont="1" applyBorder="1" applyAlignment="1">
      <alignment horizontal="right"/>
    </xf>
    <xf numFmtId="0" fontId="27" fillId="0" borderId="1" xfId="0" applyFont="1" applyBorder="1"/>
    <xf numFmtId="0" fontId="28" fillId="0" borderId="42" xfId="0" applyNumberFormat="1" applyFont="1" applyBorder="1" applyAlignment="1">
      <alignment horizontal="left"/>
    </xf>
    <xf numFmtId="0" fontId="28" fillId="0" borderId="39" xfId="0" applyNumberFormat="1" applyFont="1" applyBorder="1" applyAlignment="1">
      <alignment horizontal="left"/>
    </xf>
    <xf numFmtId="0" fontId="0" fillId="0" borderId="47" xfId="0" applyFill="1" applyBorder="1"/>
    <xf numFmtId="0" fontId="26" fillId="0" borderId="48" xfId="0" applyFont="1" applyBorder="1"/>
    <xf numFmtId="0" fontId="26" fillId="0" borderId="49" xfId="0" applyFont="1" applyBorder="1"/>
    <xf numFmtId="0" fontId="26" fillId="0" borderId="37" xfId="0" applyFont="1" applyBorder="1"/>
    <xf numFmtId="0" fontId="26" fillId="0" borderId="38" xfId="0" applyFont="1" applyBorder="1"/>
    <xf numFmtId="0" fontId="0" fillId="0" borderId="4" xfId="0" applyBorder="1" applyAlignment="1">
      <alignment horizontal="center"/>
    </xf>
    <xf numFmtId="0" fontId="6" fillId="0" borderId="0" xfId="0" applyFont="1" applyAlignment="1">
      <alignment horizontal="center"/>
    </xf>
    <xf numFmtId="0" fontId="15" fillId="5" borderId="25" xfId="0" applyFont="1" applyFill="1" applyBorder="1" applyAlignment="1">
      <alignment horizontal="left"/>
    </xf>
    <xf numFmtId="0" fontId="15" fillId="5" borderId="45" xfId="0" applyFont="1" applyFill="1" applyBorder="1" applyAlignment="1">
      <alignment horizontal="left"/>
    </xf>
    <xf numFmtId="0" fontId="15" fillId="5" borderId="46" xfId="0" applyFont="1" applyFill="1" applyBorder="1" applyAlignment="1">
      <alignment horizontal="left"/>
    </xf>
    <xf numFmtId="0" fontId="15" fillId="5" borderId="23" xfId="0" applyFont="1" applyFill="1" applyBorder="1" applyAlignment="1">
      <alignment horizontal="left"/>
    </xf>
    <xf numFmtId="0" fontId="15" fillId="5" borderId="8" xfId="0" applyFont="1" applyFill="1" applyBorder="1" applyAlignment="1">
      <alignment horizontal="left"/>
    </xf>
    <xf numFmtId="0" fontId="15" fillId="5" borderId="24" xfId="0" applyFont="1" applyFill="1" applyBorder="1" applyAlignment="1">
      <alignment horizontal="left"/>
    </xf>
    <xf numFmtId="0" fontId="15" fillId="5" borderId="20" xfId="0" applyFont="1" applyFill="1" applyBorder="1" applyAlignment="1">
      <alignment horizontal="left"/>
    </xf>
    <xf numFmtId="0" fontId="15" fillId="5" borderId="18" xfId="0" applyFont="1" applyFill="1" applyBorder="1" applyAlignment="1">
      <alignment horizontal="left"/>
    </xf>
    <xf numFmtId="0" fontId="15" fillId="5" borderId="9" xfId="0" applyFont="1" applyFill="1" applyBorder="1" applyAlignment="1">
      <alignment horizontal="left"/>
    </xf>
    <xf numFmtId="0" fontId="15" fillId="5" borderId="19" xfId="0" applyFont="1" applyFill="1" applyBorder="1" applyAlignment="1">
      <alignment horizontal="left"/>
    </xf>
    <xf numFmtId="0" fontId="15" fillId="5" borderId="26" xfId="0" applyFont="1" applyFill="1" applyBorder="1" applyAlignment="1">
      <alignment horizontal="left"/>
    </xf>
    <xf numFmtId="0" fontId="15" fillId="5" borderId="27" xfId="0" applyFont="1" applyFill="1" applyBorder="1" applyAlignment="1">
      <alignment horizontal="left"/>
    </xf>
    <xf numFmtId="0" fontId="0" fillId="0" borderId="14" xfId="0" applyBorder="1" applyAlignment="1">
      <alignment horizontal="center"/>
    </xf>
    <xf numFmtId="0" fontId="0" fillId="0" borderId="0" xfId="0" applyBorder="1" applyAlignment="1">
      <alignment horizontal="center"/>
    </xf>
    <xf numFmtId="0" fontId="0" fillId="0" borderId="15" xfId="0" applyBorder="1" applyAlignment="1">
      <alignment horizontal="center"/>
    </xf>
    <xf numFmtId="0" fontId="10" fillId="0" borderId="14" xfId="0" applyFont="1" applyBorder="1" applyAlignment="1">
      <alignment horizontal="center"/>
    </xf>
    <xf numFmtId="0" fontId="10" fillId="0" borderId="0" xfId="0" applyFont="1" applyBorder="1" applyAlignment="1">
      <alignment horizontal="center"/>
    </xf>
    <xf numFmtId="0" fontId="10" fillId="0" borderId="15" xfId="0" applyFont="1" applyBorder="1" applyAlignment="1">
      <alignment horizontal="center"/>
    </xf>
    <xf numFmtId="0" fontId="10" fillId="0" borderId="16" xfId="0" applyFont="1" applyBorder="1" applyAlignment="1">
      <alignment horizontal="center"/>
    </xf>
    <xf numFmtId="0" fontId="10" fillId="0" borderId="5" xfId="0" applyFont="1" applyBorder="1" applyAlignment="1">
      <alignment horizontal="center"/>
    </xf>
    <xf numFmtId="0" fontId="10" fillId="0" borderId="17" xfId="0" applyFont="1" applyBorder="1" applyAlignment="1">
      <alignment horizontal="center"/>
    </xf>
    <xf numFmtId="0" fontId="23" fillId="0" borderId="18" xfId="0" applyFont="1" applyBorder="1" applyAlignment="1">
      <alignment horizontal="center"/>
    </xf>
    <xf numFmtId="0" fontId="14" fillId="0" borderId="9" xfId="0" applyFont="1" applyBorder="1" applyAlignment="1">
      <alignment horizontal="center"/>
    </xf>
    <xf numFmtId="0" fontId="14" fillId="0" borderId="19" xfId="0" applyFont="1" applyBorder="1" applyAlignment="1">
      <alignment horizontal="center"/>
    </xf>
    <xf numFmtId="0" fontId="22" fillId="0" borderId="14" xfId="0" applyFont="1" applyBorder="1" applyAlignment="1">
      <alignment horizontal="center"/>
    </xf>
    <xf numFmtId="0" fontId="22" fillId="0" borderId="0" xfId="0" applyFont="1" applyBorder="1" applyAlignment="1">
      <alignment horizontal="center"/>
    </xf>
    <xf numFmtId="0" fontId="22" fillId="0" borderId="15" xfId="0" applyFont="1" applyBorder="1" applyAlignment="1">
      <alignment horizontal="center"/>
    </xf>
    <xf numFmtId="0" fontId="23" fillId="0" borderId="14" xfId="0" applyFont="1" applyBorder="1" applyAlignment="1">
      <alignment horizontal="center"/>
    </xf>
    <xf numFmtId="0" fontId="23" fillId="0" borderId="0" xfId="0" applyFont="1" applyBorder="1" applyAlignment="1">
      <alignment horizontal="center"/>
    </xf>
    <xf numFmtId="0" fontId="23" fillId="0" borderId="15" xfId="0" applyFont="1" applyBorder="1" applyAlignment="1">
      <alignment horizontal="center"/>
    </xf>
    <xf numFmtId="0" fontId="22" fillId="0" borderId="14" xfId="0" applyFont="1" applyBorder="1" applyAlignment="1">
      <alignment horizontal="center" vertical="center"/>
    </xf>
    <xf numFmtId="0" fontId="22" fillId="0" borderId="0" xfId="0" applyFont="1" applyBorder="1" applyAlignment="1">
      <alignment horizontal="center" vertical="center"/>
    </xf>
    <xf numFmtId="0" fontId="22" fillId="0" borderId="15" xfId="0" applyFont="1" applyBorder="1" applyAlignment="1">
      <alignment horizontal="center" vertical="center"/>
    </xf>
    <xf numFmtId="0" fontId="0" fillId="0" borderId="14" xfId="0" applyBorder="1" applyAlignment="1">
      <alignment horizontal="center" wrapText="1"/>
    </xf>
    <xf numFmtId="0" fontId="0" fillId="0" borderId="0" xfId="0" applyBorder="1" applyAlignment="1">
      <alignment horizontal="center" wrapText="1"/>
    </xf>
    <xf numFmtId="0" fontId="0" fillId="0" borderId="15" xfId="0" applyBorder="1" applyAlignment="1">
      <alignment horizontal="center" wrapText="1"/>
    </xf>
    <xf numFmtId="0" fontId="20" fillId="0" borderId="14" xfId="0" applyFont="1" applyBorder="1" applyAlignment="1">
      <alignment horizontal="center"/>
    </xf>
    <xf numFmtId="0" fontId="20" fillId="0" borderId="0" xfId="0" applyFont="1" applyBorder="1" applyAlignment="1">
      <alignment horizontal="center"/>
    </xf>
    <xf numFmtId="0" fontId="10" fillId="0" borderId="0" xfId="0" applyFont="1" applyAlignment="1">
      <alignment horizontal="center"/>
    </xf>
    <xf numFmtId="0" fontId="0" fillId="0" borderId="0" xfId="0" applyAlignment="1">
      <alignment horizontal="center"/>
    </xf>
    <xf numFmtId="0" fontId="5" fillId="0" borderId="14" xfId="0" applyFont="1" applyBorder="1" applyAlignment="1">
      <alignment horizontal="center"/>
    </xf>
    <xf numFmtId="0" fontId="5" fillId="0" borderId="0" xfId="0" applyFont="1" applyBorder="1" applyAlignment="1">
      <alignment horizontal="center"/>
    </xf>
    <xf numFmtId="0" fontId="5" fillId="0" borderId="15" xfId="0" applyFont="1" applyBorder="1" applyAlignment="1">
      <alignment horizontal="center"/>
    </xf>
    <xf numFmtId="0" fontId="5" fillId="0" borderId="14" xfId="0" applyFont="1" applyBorder="1" applyAlignment="1">
      <alignment horizontal="center" vertical="center"/>
    </xf>
    <xf numFmtId="0" fontId="5" fillId="0" borderId="0" xfId="0" applyFont="1" applyBorder="1" applyAlignment="1">
      <alignment horizontal="center" vertical="center"/>
    </xf>
    <xf numFmtId="0" fontId="5" fillId="0" borderId="15" xfId="0" applyFont="1" applyBorder="1" applyAlignment="1">
      <alignment horizontal="center" vertical="center"/>
    </xf>
    <xf numFmtId="0" fontId="2" fillId="0" borderId="14" xfId="0" applyFont="1" applyBorder="1" applyAlignment="1">
      <alignment horizontal="center" vertical="center"/>
    </xf>
    <xf numFmtId="0" fontId="2" fillId="0" borderId="0" xfId="0" applyFont="1" applyBorder="1" applyAlignment="1">
      <alignment horizontal="center" vertical="center"/>
    </xf>
    <xf numFmtId="0" fontId="2" fillId="0" borderId="15" xfId="0" applyFont="1" applyBorder="1" applyAlignment="1">
      <alignment horizontal="center" vertical="center"/>
    </xf>
    <xf numFmtId="0" fontId="22" fillId="0" borderId="18" xfId="0" applyFont="1" applyBorder="1" applyAlignment="1">
      <alignment horizontal="center"/>
    </xf>
    <xf numFmtId="0" fontId="22" fillId="0" borderId="9" xfId="0" applyFont="1" applyBorder="1" applyAlignment="1">
      <alignment horizontal="center"/>
    </xf>
    <xf numFmtId="0" fontId="22" fillId="0" borderId="19" xfId="0" applyFont="1" applyBorder="1" applyAlignment="1">
      <alignment horizontal="center"/>
    </xf>
    <xf numFmtId="0" fontId="20" fillId="0" borderId="18" xfId="0" applyFont="1" applyBorder="1" applyAlignment="1">
      <alignment horizontal="center"/>
    </xf>
    <xf numFmtId="0" fontId="20" fillId="0" borderId="9" xfId="0" applyFont="1" applyBorder="1" applyAlignment="1">
      <alignment horizontal="center"/>
    </xf>
    <xf numFmtId="0" fontId="20" fillId="0" borderId="19" xfId="0" applyFont="1" applyBorder="1" applyAlignment="1">
      <alignment horizontal="center"/>
    </xf>
    <xf numFmtId="0" fontId="2" fillId="0" borderId="14" xfId="0" applyFont="1" applyBorder="1" applyAlignment="1">
      <alignment horizontal="center"/>
    </xf>
    <xf numFmtId="0" fontId="2" fillId="0" borderId="0" xfId="0" applyFont="1" applyBorder="1" applyAlignment="1">
      <alignment horizontal="center"/>
    </xf>
    <xf numFmtId="0" fontId="2" fillId="0" borderId="15" xfId="0" applyFont="1" applyBorder="1" applyAlignment="1">
      <alignment horizontal="center"/>
    </xf>
    <xf numFmtId="0" fontId="3" fillId="0" borderId="14"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15" xfId="0" applyFont="1" applyFill="1" applyBorder="1" applyAlignment="1">
      <alignment horizontal="center" vertical="center"/>
    </xf>
    <xf numFmtId="0" fontId="21" fillId="0" borderId="14" xfId="0" applyFont="1" applyBorder="1" applyAlignment="1">
      <alignment horizontal="center"/>
    </xf>
    <xf numFmtId="0" fontId="21" fillId="0" borderId="0" xfId="0" applyFont="1" applyBorder="1" applyAlignment="1">
      <alignment horizontal="center"/>
    </xf>
    <xf numFmtId="0" fontId="21" fillId="0" borderId="15" xfId="0" applyFont="1" applyBorder="1" applyAlignment="1">
      <alignment horizontal="center"/>
    </xf>
    <xf numFmtId="0" fontId="24" fillId="0" borderId="14" xfId="0" applyFont="1" applyBorder="1" applyAlignment="1">
      <alignment horizontal="center"/>
    </xf>
    <xf numFmtId="0" fontId="24" fillId="0" borderId="0" xfId="0" applyFont="1" applyBorder="1" applyAlignment="1">
      <alignment horizontal="center"/>
    </xf>
    <xf numFmtId="0" fontId="24" fillId="0" borderId="15" xfId="0" applyFont="1" applyBorder="1" applyAlignment="1">
      <alignment horizontal="center"/>
    </xf>
    <xf numFmtId="0" fontId="22" fillId="0" borderId="16" xfId="0" applyFont="1" applyBorder="1" applyAlignment="1">
      <alignment horizontal="center"/>
    </xf>
    <xf numFmtId="0" fontId="22" fillId="0" borderId="5" xfId="0" applyFont="1" applyBorder="1" applyAlignment="1">
      <alignment horizontal="center"/>
    </xf>
    <xf numFmtId="0" fontId="22" fillId="0" borderId="17" xfId="0" applyFont="1" applyBorder="1" applyAlignment="1">
      <alignment horizontal="center"/>
    </xf>
    <xf numFmtId="0" fontId="0" fillId="0" borderId="23" xfId="0" applyBorder="1" applyAlignment="1">
      <alignment horizontal="center"/>
    </xf>
    <xf numFmtId="0" fontId="0" fillId="0" borderId="8" xfId="0" applyBorder="1" applyAlignment="1">
      <alignment horizontal="center"/>
    </xf>
    <xf numFmtId="0" fontId="0" fillId="0" borderId="24" xfId="0" applyBorder="1" applyAlignment="1">
      <alignment horizontal="center"/>
    </xf>
    <xf numFmtId="0" fontId="4" fillId="0" borderId="14" xfId="0" applyFont="1" applyBorder="1" applyAlignment="1">
      <alignment horizontal="center"/>
    </xf>
    <xf numFmtId="0" fontId="4" fillId="0" borderId="0" xfId="0" applyFont="1" applyBorder="1" applyAlignment="1">
      <alignment horizontal="center"/>
    </xf>
    <xf numFmtId="0" fontId="4" fillId="0" borderId="15" xfId="0" applyFont="1" applyBorder="1" applyAlignment="1">
      <alignment horizontal="center"/>
    </xf>
    <xf numFmtId="0" fontId="14" fillId="0" borderId="14" xfId="0" applyFont="1" applyBorder="1" applyAlignment="1">
      <alignment horizontal="center" wrapText="1"/>
    </xf>
    <xf numFmtId="0" fontId="14" fillId="0" borderId="0" xfId="0" applyFont="1" applyBorder="1" applyAlignment="1">
      <alignment horizontal="center" wrapText="1"/>
    </xf>
    <xf numFmtId="0" fontId="14" fillId="0" borderId="15" xfId="0" applyFont="1" applyBorder="1" applyAlignment="1">
      <alignment horizontal="center" wrapText="1"/>
    </xf>
    <xf numFmtId="0" fontId="14" fillId="0" borderId="14" xfId="0" applyFont="1" applyBorder="1" applyAlignment="1">
      <alignment horizontal="center"/>
    </xf>
    <xf numFmtId="0" fontId="14" fillId="0" borderId="0" xfId="0" applyFont="1" applyBorder="1" applyAlignment="1">
      <alignment horizontal="center"/>
    </xf>
    <xf numFmtId="0" fontId="14" fillId="0" borderId="15" xfId="0" applyFont="1" applyBorder="1" applyAlignment="1">
      <alignment horizontal="center"/>
    </xf>
  </cellXfs>
  <cellStyles count="5">
    <cellStyle name="Check Cell" xfId="2" builtinId="23"/>
    <cellStyle name="Comma 2" xfId="1" xr:uid="{00000000-0005-0000-0000-000000000000}"/>
    <cellStyle name="Good" xfId="4" builtinId="26"/>
    <cellStyle name="Normal" xfId="0" builtinId="0"/>
    <cellStyle name="Per 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http://en.wikipedia.org/wiki/ITC_Limited</v>
    <v>Wikipedia</v>
  </rv>
  <rv s="1">
    <v>0</v>
    <v>1</v>
  </rv>
  <rv s="2">
    <v>6</v>
    <v>https://www.bing.com/th?id=AMMS_249b6c3416d9d0337e9d0cdf4d6e4a9f&amp;qlt=95</v>
    <v>2</v>
    <v>0</v>
    <v>https://www.bing.com/images/search?form=xlimg&amp;q=itc+limited</v>
    <v>Image of ITC LIMITED</v>
  </rv>
  <rv s="0">
    <v>https://www.bing.com/financeapi/forcetrigger?t=ahie2w&amp;q=XNSE%3aITC&amp;form=skydnc</v>
    <v>Learn more on Bing</v>
  </rv>
  <rv s="3">
    <v>0</v>
    <v>ITC LIMITED (XNSE:ITC)</v>
    <v>3</v>
    <v>4</v>
    <v>Finance</v>
    <v>5</v>
    <v>en-GB</v>
    <v>ahie2w</v>
    <v>268435456</v>
    <v>1</v>
    <v>Powered by Refinitiv</v>
    <v>245.8</v>
    <v>163.35</v>
    <v>0.72560000000000002</v>
    <v>-0.4</v>
    <v>-1.717E-3</v>
    <v>INR</v>
    <v>ITC Limited is a holding company, which is engaged in the marketing of fast moving consumer goods (FMGC). The Company operates through four segments: FMCG; Hotels; Paperboards, Paper and Packaging, and Agri Business. The FMCG segment includes Cigarettes, such as cigarettes and cigars, and Others, such as branded packaged foods businesses (Staples, Snacks and Meals; Dairy and Beverages, and Confections); Apparel; Education and Stationery Products; Personal Care Products; Safety Matches, and Agarbattis. Its Hotels segment includes Hoteliering. Its Paperboards, Paper and Packaging segment includes paperboards; paper, including specialty paper, and packaging, including flexibles. Its Agri Business segment includes Agri commodities, such as soya, spices, coffee and leaf tobacco. Its brands include Aashirvaad, Sunfeast Dark Fantasy, Bingo!, Yumitos, YiPPee!, Candyman, GumOn, Classmate, Fiama Di Wills, Vivel, Superia, Engage, Wills Lifestyle, John Players, Mangaldeep and Aim, among others.</v>
    <v>26017</v>
    <v>National Stock Exchange of India</v>
    <v>XNSE</v>
    <v>XNSE</v>
    <v>Virginia House, 37, J. L. Nehru Road, KOLKATA, WEST BENGAL, 110001 IN</v>
    <v>234.8</v>
    <v>3</v>
    <v>Food &amp; Tobacco</v>
    <v>Stock</v>
    <v>44477.368958333333</v>
    <v>4</v>
    <v>231.2</v>
    <v>2849076000000</v>
    <v>ITC LIMITED</v>
    <v>ITC LIMITED</v>
    <v>234.75</v>
    <v>20.58</v>
    <v>232.95</v>
    <v>232.55</v>
    <v>12320330000</v>
    <v>ITC</v>
    <v>ITC LIMITED (XNSE:ITC)</v>
    <v>7698104</v>
    <v>1910</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8</v>
      <v>9</v>
      <v>10</v>
      <v>5</v>
    </spb>
    <spb s="5">
      <v>Delayed 5 minutes</v>
      <v>from previous close</v>
      <v>from previous close</v>
      <v>GMT</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Last trade time" t="i"/>
    <k n="Year incorporated" t="i"/>
    <k n="`%EntityServiceId" t="i"/>
    <k n="Shares outstanding" t="i"/>
  </s>
  <s>
    <k n="Price" t="s"/>
    <k n="Change" t="s"/>
    <k n="Change (%)" t="s"/>
    <k n="Last trade time"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65" formatCode="_([$₹-4009]* #,##0.00_);_([$₹-4009]* \(#,##0.00\);_([$₹-4009]* &quot;-&quot;??_);_(@_)"/>
    </x:dxf>
    <x:dxf>
      <x:numFmt numFmtId="4" formatCode="#,##0.00"/>
    </x:dxf>
    <x:dxf>
      <x:numFmt numFmtId="3" formatCode="#,##0"/>
    </x:dxf>
    <x:dxf>
      <x:numFmt numFmtId="14" formatCode="0.00%"/>
    </x:dxf>
    <x:dxf>
      <x:numFmt numFmtId="164" formatCode="_([$₹-4009]* #,##0_);_([$₹-4009]* \(#,##0\);_([$₹-4009]* &quot;-&quot;_);_(@_)"/>
    </x:dxf>
    <x:dxf>
      <x:numFmt numFmtId="27" formatCode="dd/mm/yy\ h:mm"/>
    </x:dxf>
    <x:dxf>
      <x:numFmt numFmtId="1" formatCode="0"/>
    </x:dxf>
    <x:dxf>
      <x:numFmt numFmtId="2" formatCode="0.00"/>
    </x:dxf>
  </dxfs>
  <richProperties>
    <rPr n="IsTitleField" t="b"/>
    <rPr n="IsHeroField" t="b"/>
  </richProperties>
  <richStyles>
    <rSty dxfid="0"/>
    <rSty dxfid="1"/>
    <rSty>
      <rpv i="0">1</rpv>
    </rSty>
    <rSty>
      <rpv i="1">1</rpv>
    </rSty>
    <rSty dxfid="2"/>
    <rSty dxfid="3"/>
    <rSty dxfid="4"/>
    <rSty dxfid="5"/>
    <rSty dxfid="6"/>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2"/>
  <sheetViews>
    <sheetView showGridLines="0" tabSelected="1" topLeftCell="P1" zoomScale="119" zoomScaleNormal="60" workbookViewId="0">
      <selection activeCell="U108" sqref="U108"/>
    </sheetView>
  </sheetViews>
  <sheetFormatPr baseColWidth="10" defaultColWidth="8.83203125" defaultRowHeight="15" x14ac:dyDescent="0.2"/>
  <cols>
    <col min="2" max="2" width="38.1640625" customWidth="1"/>
    <col min="3" max="3" width="13.83203125" customWidth="1"/>
    <col min="4" max="4" width="9.83203125" bestFit="1" customWidth="1"/>
    <col min="5" max="5" width="11.1640625" bestFit="1" customWidth="1"/>
    <col min="6" max="6" width="9.83203125" bestFit="1" customWidth="1"/>
    <col min="7" max="7" width="10" bestFit="1" customWidth="1"/>
    <col min="8" max="8" width="11.5" customWidth="1"/>
    <col min="10" max="10" width="29.1640625" customWidth="1"/>
    <col min="11" max="11" width="14.1640625" customWidth="1"/>
    <col min="12" max="12" width="12.1640625" customWidth="1"/>
    <col min="13" max="14" width="10" bestFit="1" customWidth="1"/>
    <col min="15" max="15" width="16.83203125" bestFit="1" customWidth="1"/>
    <col min="16" max="16" width="12.83203125" customWidth="1"/>
    <col min="17" max="17" width="30" bestFit="1" customWidth="1"/>
    <col min="18" max="18" width="37.5" customWidth="1"/>
    <col min="19" max="19" width="16.5" bestFit="1" customWidth="1"/>
    <col min="20" max="20" width="9.5" bestFit="1" customWidth="1"/>
    <col min="21" max="21" width="13.5" customWidth="1"/>
    <col min="22" max="23" width="9.5" bestFit="1" customWidth="1"/>
    <col min="25" max="25" width="25.5" customWidth="1"/>
    <col min="26" max="26" width="20.1640625" bestFit="1" customWidth="1"/>
    <col min="27" max="27" width="10.83203125" customWidth="1"/>
  </cols>
  <sheetData>
    <row r="1" spans="2:31" x14ac:dyDescent="0.2">
      <c r="D1" t="s">
        <v>8</v>
      </c>
    </row>
    <row r="2" spans="2:31" x14ac:dyDescent="0.2">
      <c r="B2" s="5" t="s">
        <v>240</v>
      </c>
      <c r="J2" s="5" t="s">
        <v>72</v>
      </c>
      <c r="K2" t="s">
        <v>8</v>
      </c>
      <c r="L2" t="s">
        <v>9</v>
      </c>
      <c r="R2" s="5" t="s">
        <v>61</v>
      </c>
      <c r="Y2" s="5" t="s">
        <v>80</v>
      </c>
    </row>
    <row r="3" spans="2:31" x14ac:dyDescent="0.2">
      <c r="B3" s="1"/>
      <c r="C3" s="1">
        <v>2021</v>
      </c>
      <c r="D3" s="1">
        <v>2020</v>
      </c>
      <c r="E3" s="1">
        <v>2019</v>
      </c>
      <c r="F3" s="1">
        <v>2018</v>
      </c>
      <c r="G3" s="1">
        <v>2017</v>
      </c>
      <c r="J3" s="1"/>
      <c r="K3" s="1">
        <v>2021</v>
      </c>
      <c r="L3" s="1" t="s">
        <v>232</v>
      </c>
      <c r="M3" s="1" t="s">
        <v>231</v>
      </c>
      <c r="N3" s="1" t="s">
        <v>233</v>
      </c>
      <c r="O3" s="1" t="s">
        <v>234</v>
      </c>
      <c r="P3" s="1" t="s">
        <v>235</v>
      </c>
      <c r="R3" s="1"/>
      <c r="S3" s="1">
        <v>2021</v>
      </c>
      <c r="T3" s="1">
        <v>2020</v>
      </c>
      <c r="U3" s="1">
        <v>2019</v>
      </c>
      <c r="V3" s="1">
        <v>2018</v>
      </c>
      <c r="W3" s="1">
        <v>2017</v>
      </c>
      <c r="Y3" s="1" t="s">
        <v>249</v>
      </c>
      <c r="Z3" s="3">
        <v>2021</v>
      </c>
      <c r="AA3" s="3">
        <v>2020</v>
      </c>
      <c r="AB3" s="3">
        <v>2019</v>
      </c>
      <c r="AC3" s="3">
        <v>2018</v>
      </c>
      <c r="AD3" s="3">
        <v>2017</v>
      </c>
      <c r="AE3" s="9"/>
    </row>
    <row r="4" spans="2:31" x14ac:dyDescent="0.2">
      <c r="B4" s="1" t="s">
        <v>0</v>
      </c>
      <c r="C4" s="86">
        <f>K85</f>
        <v>13277.889999999994</v>
      </c>
      <c r="D4" s="86">
        <f t="shared" ref="D4:G4" si="0">L85</f>
        <v>13754.239999999998</v>
      </c>
      <c r="E4" s="86">
        <f t="shared" si="0"/>
        <v>12826.88</v>
      </c>
      <c r="F4" s="86">
        <f t="shared" si="0"/>
        <v>11605.59</v>
      </c>
      <c r="G4" s="86">
        <f t="shared" si="0"/>
        <v>10277.900000000007</v>
      </c>
      <c r="J4" s="1" t="s">
        <v>10</v>
      </c>
      <c r="K4" s="86">
        <f>C16</f>
        <v>21245.37999999999</v>
      </c>
      <c r="L4" s="86">
        <f>AVERAGE($C$16:$G$16)*(1+C38)</f>
        <v>23814.944264017417</v>
      </c>
      <c r="M4" s="86">
        <f>L4*(1+C38)</f>
        <v>25465.05167836546</v>
      </c>
      <c r="N4" s="86">
        <f>M4*(1+$C$38)</f>
        <v>27229.492951684588</v>
      </c>
      <c r="O4" s="86">
        <f t="shared" ref="O4:P4" si="1">N4*(1+$C$38)</f>
        <v>29116.190132681175</v>
      </c>
      <c r="P4" s="86">
        <f t="shared" si="1"/>
        <v>31133.614178812437</v>
      </c>
      <c r="R4" s="1" t="s">
        <v>62</v>
      </c>
      <c r="S4" s="159">
        <v>4.46</v>
      </c>
      <c r="T4" s="159">
        <v>3.24</v>
      </c>
      <c r="U4" s="159">
        <v>6.15</v>
      </c>
      <c r="V4" s="159">
        <v>5.95</v>
      </c>
      <c r="W4" s="159">
        <v>7.34</v>
      </c>
      <c r="Y4" s="1" t="s">
        <v>250</v>
      </c>
      <c r="Z4" s="86">
        <f>-S103</f>
        <v>18629.29</v>
      </c>
      <c r="AA4" s="86">
        <f t="shared" ref="AA4:AD4" si="2">-T103</f>
        <v>7048.71</v>
      </c>
      <c r="AB4" s="86">
        <f t="shared" si="2"/>
        <v>6285.21</v>
      </c>
      <c r="AC4" s="86">
        <f t="shared" si="2"/>
        <v>5770.01</v>
      </c>
      <c r="AD4" s="86">
        <f t="shared" si="2"/>
        <v>6840.12</v>
      </c>
      <c r="AE4" s="9"/>
    </row>
    <row r="5" spans="2:31" x14ac:dyDescent="0.2">
      <c r="B5" s="1" t="s">
        <v>1</v>
      </c>
      <c r="C5" s="86">
        <v>3960.45</v>
      </c>
      <c r="D5" s="86">
        <v>4581.16</v>
      </c>
      <c r="E5" s="86">
        <v>5982.79</v>
      </c>
      <c r="F5" s="86">
        <v>5863.36</v>
      </c>
      <c r="G5" s="86">
        <v>5339.68</v>
      </c>
      <c r="J5" s="1" t="s">
        <v>60</v>
      </c>
      <c r="K5" s="91">
        <v>0.25169999999999998</v>
      </c>
      <c r="L5" s="91">
        <v>0.25169999999999998</v>
      </c>
      <c r="M5" s="91">
        <v>0.25169999999999998</v>
      </c>
      <c r="N5" s="91">
        <v>0.25169999999999998</v>
      </c>
      <c r="O5" s="91">
        <v>0.25169999999999998</v>
      </c>
      <c r="P5" s="91">
        <v>0.25169999999999998</v>
      </c>
      <c r="R5" s="1" t="s">
        <v>63</v>
      </c>
      <c r="S5" s="159">
        <v>20.420000000000002</v>
      </c>
      <c r="T5" s="159">
        <v>13.77</v>
      </c>
      <c r="U5" s="159">
        <v>28.86</v>
      </c>
      <c r="V5" s="159">
        <v>27.59</v>
      </c>
      <c r="W5" s="159">
        <v>32.979999999999997</v>
      </c>
      <c r="Y5" s="3" t="s">
        <v>251</v>
      </c>
      <c r="Z5" s="94">
        <f>K85/C89</f>
        <v>0.22503151450277242</v>
      </c>
      <c r="AA5" s="94">
        <f t="shared" ref="AA5:AD5" si="3">L85/D89</f>
        <v>0.21481212622498869</v>
      </c>
      <c r="AB5" s="94">
        <f t="shared" si="3"/>
        <v>0.22134471928198529</v>
      </c>
      <c r="AC5" s="94">
        <f t="shared" si="3"/>
        <v>0.22578938122068706</v>
      </c>
      <c r="AD5" s="94">
        <f t="shared" si="3"/>
        <v>0.2266802467349612</v>
      </c>
      <c r="AE5" s="9"/>
    </row>
    <row r="6" spans="2:31" x14ac:dyDescent="0.2">
      <c r="B6" s="1" t="s">
        <v>2</v>
      </c>
      <c r="C6" s="86">
        <f>C4+C5</f>
        <v>17238.339999999993</v>
      </c>
      <c r="D6" s="86">
        <f t="shared" ref="D6:G6" si="4">D4+D5</f>
        <v>18335.399999999998</v>
      </c>
      <c r="E6" s="86">
        <f t="shared" si="4"/>
        <v>18809.669999999998</v>
      </c>
      <c r="F6" s="86">
        <f t="shared" si="4"/>
        <v>17468.95</v>
      </c>
      <c r="G6" s="86">
        <f t="shared" si="4"/>
        <v>15617.580000000007</v>
      </c>
      <c r="J6" s="1" t="s">
        <v>78</v>
      </c>
      <c r="K6" s="95">
        <f>K4*(1-K5)</f>
        <v>15897.917853999992</v>
      </c>
      <c r="L6" s="95">
        <f t="shared" ref="L6:P6" si="5">L4*(1-L5)</f>
        <v>17820.722792764231</v>
      </c>
      <c r="M6" s="95">
        <f t="shared" si="5"/>
        <v>19055.498170920873</v>
      </c>
      <c r="N6" s="95">
        <f t="shared" si="5"/>
        <v>20375.829575745574</v>
      </c>
      <c r="O6" s="95">
        <f t="shared" si="5"/>
        <v>21787.645076285324</v>
      </c>
      <c r="P6" s="95">
        <f t="shared" si="5"/>
        <v>23297.283490005346</v>
      </c>
      <c r="R6" s="1" t="s">
        <v>64</v>
      </c>
      <c r="S6" s="159">
        <v>13.48</v>
      </c>
      <c r="T6" s="159">
        <v>9.36</v>
      </c>
      <c r="U6" s="159">
        <v>17.489999999999998</v>
      </c>
      <c r="V6" s="159">
        <v>16.91</v>
      </c>
      <c r="W6" s="159">
        <v>19.66</v>
      </c>
      <c r="Y6" s="3" t="s">
        <v>254</v>
      </c>
      <c r="Z6" s="94">
        <f>Z4/K85</f>
        <v>1.4030309032534545</v>
      </c>
      <c r="AA6" s="94">
        <f t="shared" ref="AA6:AD6" si="6">AA4/L85</f>
        <v>0.51247542575962035</v>
      </c>
      <c r="AB6" s="94">
        <f t="shared" si="6"/>
        <v>0.49000302489771486</v>
      </c>
      <c r="AC6" s="94">
        <f t="shared" si="6"/>
        <v>0.4971750682214347</v>
      </c>
      <c r="AD6" s="94">
        <f t="shared" si="6"/>
        <v>0.66551727492970303</v>
      </c>
      <c r="AE6" s="9"/>
    </row>
    <row r="7" spans="2:31" ht="18" x14ac:dyDescent="0.2">
      <c r="B7" s="1" t="s">
        <v>3</v>
      </c>
      <c r="C7" s="86">
        <f>S60+(-S101)</f>
        <v>90.94</v>
      </c>
      <c r="D7" s="86">
        <f t="shared" ref="D7:G7" si="7">T60+(-T101)</f>
        <v>101.25999999999999</v>
      </c>
      <c r="E7" s="86">
        <f>U60+(-U101)</f>
        <v>120.87</v>
      </c>
      <c r="F7" s="86">
        <f t="shared" si="7"/>
        <v>131.97</v>
      </c>
      <c r="G7" s="86">
        <f t="shared" si="7"/>
        <v>44.72</v>
      </c>
      <c r="J7" s="1" t="s">
        <v>4</v>
      </c>
      <c r="K7" s="1"/>
      <c r="L7" s="1"/>
      <c r="M7" s="1"/>
      <c r="N7" s="1"/>
      <c r="O7" s="1"/>
      <c r="P7" s="1"/>
      <c r="R7" s="1" t="s">
        <v>65</v>
      </c>
      <c r="S7" s="159">
        <v>5.46</v>
      </c>
      <c r="T7" s="159">
        <v>4.28</v>
      </c>
      <c r="U7" s="159">
        <v>7.52</v>
      </c>
      <c r="V7" s="159">
        <v>7.19</v>
      </c>
      <c r="W7" s="159">
        <v>7.96</v>
      </c>
      <c r="X7" s="130"/>
      <c r="Y7" s="3" t="s">
        <v>255</v>
      </c>
      <c r="Z7" s="91">
        <f>AVERAGE(Z6:AD6)</f>
        <v>0.71364033941238536</v>
      </c>
      <c r="AA7" s="9"/>
      <c r="AB7" s="9"/>
      <c r="AC7" s="9"/>
      <c r="AD7" s="9"/>
      <c r="AE7" s="9"/>
    </row>
    <row r="8" spans="2:31" x14ac:dyDescent="0.2">
      <c r="B8" s="1" t="s">
        <v>6</v>
      </c>
      <c r="C8" s="1"/>
      <c r="D8" s="1"/>
      <c r="E8" s="1"/>
      <c r="F8" s="1"/>
      <c r="G8" s="1"/>
      <c r="J8" s="1" t="s">
        <v>15</v>
      </c>
      <c r="K8" s="95">
        <f>K6*$C$36</f>
        <v>3737.1576834282291</v>
      </c>
      <c r="L8" s="95">
        <f t="shared" ref="L8:P8" si="8">L6*$C$36</f>
        <v>4189.155568725424</v>
      </c>
      <c r="M8" s="95">
        <f t="shared" si="8"/>
        <v>4479.4168679826134</v>
      </c>
      <c r="N8" s="95">
        <f t="shared" si="8"/>
        <v>4789.7900061209966</v>
      </c>
      <c r="O8" s="95">
        <f t="shared" si="8"/>
        <v>5121.6685070592621</v>
      </c>
      <c r="P8" s="95">
        <f t="shared" si="8"/>
        <v>5476.5424502286623</v>
      </c>
      <c r="Y8" s="3" t="s">
        <v>252</v>
      </c>
      <c r="Z8" s="94">
        <f>1-Z7</f>
        <v>0.28635966058761464</v>
      </c>
    </row>
    <row r="9" spans="2:31" x14ac:dyDescent="0.2">
      <c r="B9" s="2" t="s">
        <v>253</v>
      </c>
      <c r="C9" s="86">
        <f>K66</f>
        <v>7167.09</v>
      </c>
      <c r="D9" s="86">
        <f t="shared" ref="D9:G9" si="9">L66</f>
        <v>7822.11</v>
      </c>
      <c r="E9" s="86">
        <f t="shared" si="9"/>
        <v>7656.55</v>
      </c>
      <c r="F9" s="86">
        <f t="shared" si="9"/>
        <v>6809.06</v>
      </c>
      <c r="G9" s="86">
        <f t="shared" si="9"/>
        <v>7090.03</v>
      </c>
      <c r="J9" s="1" t="s">
        <v>24</v>
      </c>
      <c r="K9" s="95">
        <f>K6-K8</f>
        <v>12160.760170571763</v>
      </c>
      <c r="L9" s="95">
        <f t="shared" ref="L9:P9" si="10">L6-L8</f>
        <v>13631.567224038807</v>
      </c>
      <c r="M9" s="95">
        <f t="shared" si="10"/>
        <v>14576.081302938259</v>
      </c>
      <c r="N9" s="95">
        <f t="shared" si="10"/>
        <v>15586.039569624578</v>
      </c>
      <c r="O9" s="95">
        <f t="shared" si="10"/>
        <v>16665.976569226063</v>
      </c>
      <c r="P9" s="95">
        <f t="shared" si="10"/>
        <v>17820.741039776683</v>
      </c>
      <c r="R9" s="1"/>
      <c r="S9" s="1" t="s">
        <v>66</v>
      </c>
      <c r="T9" s="1" t="s">
        <v>260</v>
      </c>
      <c r="Y9" s="3" t="s">
        <v>256</v>
      </c>
      <c r="Z9" s="94">
        <f>AVERAGE(Z5:AD5)*Z8</f>
        <v>6.3781344688891239E-2</v>
      </c>
    </row>
    <row r="10" spans="2:31" ht="16" x14ac:dyDescent="0.2">
      <c r="B10" s="2"/>
      <c r="C10" s="86"/>
      <c r="D10" s="86"/>
      <c r="E10" s="86"/>
      <c r="F10" s="86"/>
      <c r="G10" s="86"/>
      <c r="J10" s="1"/>
      <c r="K10" s="1"/>
      <c r="L10" s="1"/>
      <c r="M10" s="1"/>
      <c r="N10" s="1"/>
      <c r="O10" s="1"/>
      <c r="P10" s="1"/>
      <c r="R10" s="1" t="s">
        <v>62</v>
      </c>
      <c r="S10" s="1">
        <v>6.9</v>
      </c>
      <c r="T10" s="95">
        <f>S4</f>
        <v>4.46</v>
      </c>
      <c r="U10" s="108" t="s">
        <v>261</v>
      </c>
      <c r="Y10" s="3" t="s">
        <v>257</v>
      </c>
      <c r="Z10" s="95">
        <f>Z4+Z4/(C49-Z9)</f>
        <v>440419.03203251807</v>
      </c>
    </row>
    <row r="11" spans="2:31" ht="16" x14ac:dyDescent="0.2">
      <c r="B11" s="1" t="s">
        <v>4</v>
      </c>
      <c r="C11" s="1"/>
      <c r="D11" s="1"/>
      <c r="E11" s="1"/>
      <c r="F11" s="1"/>
      <c r="G11" s="1"/>
      <c r="J11" s="7" t="s">
        <v>73</v>
      </c>
      <c r="R11" s="1" t="s">
        <v>63</v>
      </c>
      <c r="S11" s="1">
        <v>30.6</v>
      </c>
      <c r="T11" s="95">
        <f t="shared" ref="T11:T13" si="11">S5</f>
        <v>20.420000000000002</v>
      </c>
      <c r="U11" s="108" t="s">
        <v>261</v>
      </c>
      <c r="Y11" s="104" t="s">
        <v>258</v>
      </c>
      <c r="Z11" s="106">
        <f>Z10/O29</f>
        <v>357.47340536537422</v>
      </c>
      <c r="AA11" s="108" t="s">
        <v>261</v>
      </c>
    </row>
    <row r="12" spans="2:31" ht="16" x14ac:dyDescent="0.2">
      <c r="B12" s="1" t="s">
        <v>5</v>
      </c>
      <c r="C12" s="1"/>
      <c r="D12" s="1"/>
      <c r="E12" s="1"/>
      <c r="F12" s="1"/>
      <c r="G12" s="1"/>
      <c r="J12" s="1" t="s">
        <v>25</v>
      </c>
      <c r="K12" s="95">
        <f>NPV(P15,0,L9:P9)</f>
        <v>78280.405705604382</v>
      </c>
      <c r="R12" s="1" t="s">
        <v>64</v>
      </c>
      <c r="S12" s="1">
        <v>17.899999999999999</v>
      </c>
      <c r="T12" s="95">
        <f t="shared" si="11"/>
        <v>13.48</v>
      </c>
      <c r="U12" s="108" t="s">
        <v>261</v>
      </c>
    </row>
    <row r="13" spans="2:31" x14ac:dyDescent="0.2">
      <c r="B13" s="2" t="s">
        <v>241</v>
      </c>
      <c r="C13" s="86">
        <f>K56</f>
        <v>3250.99</v>
      </c>
      <c r="D13" s="86">
        <f t="shared" ref="D13:G13" si="12">L56</f>
        <v>3013.66</v>
      </c>
      <c r="E13" s="86">
        <f t="shared" si="12"/>
        <v>2484.54</v>
      </c>
      <c r="F13" s="86">
        <f t="shared" si="12"/>
        <v>2129.84</v>
      </c>
      <c r="G13" s="86">
        <f t="shared" si="12"/>
        <v>1985.91</v>
      </c>
      <c r="J13" s="1" t="s">
        <v>26</v>
      </c>
      <c r="K13" s="95">
        <f>P9/(C49-C38)</f>
        <v>460962.49325384182</v>
      </c>
      <c r="R13" s="1" t="s">
        <v>65</v>
      </c>
      <c r="S13" s="107" t="s">
        <v>259</v>
      </c>
      <c r="T13" s="95">
        <f t="shared" si="11"/>
        <v>5.46</v>
      </c>
    </row>
    <row r="14" spans="2:31" ht="16" x14ac:dyDescent="0.2">
      <c r="B14" s="2" t="s">
        <v>243</v>
      </c>
      <c r="C14" s="86">
        <f>K69</f>
        <v>0</v>
      </c>
      <c r="D14" s="86">
        <f>L69</f>
        <v>-132.11000000000001</v>
      </c>
      <c r="E14" s="86">
        <f>M69</f>
        <v>0</v>
      </c>
      <c r="F14" s="86">
        <f>N69</f>
        <v>412.9</v>
      </c>
      <c r="G14" s="86">
        <f>O69</f>
        <v>0</v>
      </c>
      <c r="J14" s="1" t="s">
        <v>27</v>
      </c>
      <c r="K14" s="95">
        <f>K12+K13</f>
        <v>539242.89895944623</v>
      </c>
      <c r="R14" s="8" t="s">
        <v>70</v>
      </c>
      <c r="S14" s="107" t="s">
        <v>259</v>
      </c>
      <c r="T14" s="9"/>
    </row>
    <row r="15" spans="2:31" x14ac:dyDescent="0.2">
      <c r="B15" s="1"/>
    </row>
    <row r="16" spans="2:31" x14ac:dyDescent="0.2">
      <c r="B16" s="1" t="s">
        <v>7</v>
      </c>
      <c r="C16" s="86">
        <f>SUM(C6:C10)-SUM(C13:C14)</f>
        <v>21245.37999999999</v>
      </c>
      <c r="D16" s="86">
        <f t="shared" ref="D16:G16" si="13">SUM(D6:D10)-SUM(D13:D14)</f>
        <v>23377.219999999998</v>
      </c>
      <c r="E16" s="86">
        <f t="shared" si="13"/>
        <v>24102.549999999996</v>
      </c>
      <c r="F16" s="86">
        <f t="shared" si="13"/>
        <v>21867.24</v>
      </c>
      <c r="G16" s="86">
        <f t="shared" si="13"/>
        <v>20766.420000000006</v>
      </c>
      <c r="J16" s="5" t="s">
        <v>29</v>
      </c>
    </row>
    <row r="17" spans="2:19" x14ac:dyDescent="0.2">
      <c r="B17" s="1" t="s">
        <v>52</v>
      </c>
      <c r="C17" s="91">
        <f>C5/C4</f>
        <v>0.29827404806034707</v>
      </c>
      <c r="D17" s="91">
        <f t="shared" ref="D17:G17" si="14">D5/D6</f>
        <v>0.24985328926557371</v>
      </c>
      <c r="E17" s="91">
        <f t="shared" si="14"/>
        <v>0.31806990765919874</v>
      </c>
      <c r="F17" s="91">
        <f t="shared" si="14"/>
        <v>0.33564467240446616</v>
      </c>
      <c r="G17" s="91">
        <f t="shared" si="14"/>
        <v>0.3419018823658978</v>
      </c>
      <c r="J17" s="1" t="s">
        <v>27</v>
      </c>
      <c r="K17" s="95">
        <f>K14</f>
        <v>539242.89895944623</v>
      </c>
      <c r="R17" s="1"/>
      <c r="S17" s="1" t="s">
        <v>69</v>
      </c>
    </row>
    <row r="18" spans="2:19" x14ac:dyDescent="0.2">
      <c r="B18" s="92" t="s">
        <v>239</v>
      </c>
      <c r="C18" s="86">
        <f>C16-C5</f>
        <v>17284.929999999989</v>
      </c>
      <c r="D18" s="86">
        <f t="shared" ref="D18:G18" si="15">D16-D5</f>
        <v>18796.059999999998</v>
      </c>
      <c r="E18" s="86">
        <f t="shared" si="15"/>
        <v>18119.759999999995</v>
      </c>
      <c r="F18" s="86">
        <f t="shared" si="15"/>
        <v>16003.880000000001</v>
      </c>
      <c r="G18" s="86">
        <f t="shared" si="15"/>
        <v>15426.740000000005</v>
      </c>
      <c r="J18" s="1" t="s">
        <v>30</v>
      </c>
      <c r="K18" s="86">
        <f>C77+C78</f>
        <v>4001.5</v>
      </c>
      <c r="R18" s="1" t="s">
        <v>67</v>
      </c>
      <c r="S18" s="1">
        <v>21.37</v>
      </c>
    </row>
    <row r="19" spans="2:19" x14ac:dyDescent="0.2">
      <c r="B19" s="1" t="s">
        <v>77</v>
      </c>
      <c r="C19" s="93">
        <f>AVERAGE(C18:G18)</f>
        <v>17126.273999999998</v>
      </c>
      <c r="J19" s="1" t="s">
        <v>31</v>
      </c>
      <c r="K19" s="1"/>
      <c r="R19" s="1" t="s">
        <v>68</v>
      </c>
      <c r="S19" s="95">
        <f>N29/((K74*(1+C38))/O29)</f>
        <v>20.561018220062628</v>
      </c>
    </row>
    <row r="20" spans="2:19" x14ac:dyDescent="0.2">
      <c r="B20" s="5" t="s">
        <v>57</v>
      </c>
      <c r="J20" s="2" t="s">
        <v>246</v>
      </c>
      <c r="K20" s="86">
        <f>C75+C66</f>
        <v>26997.089999999997</v>
      </c>
    </row>
    <row r="21" spans="2:19" x14ac:dyDescent="0.2">
      <c r="B21" s="1"/>
      <c r="C21" s="1">
        <v>2021</v>
      </c>
      <c r="D21" s="1">
        <v>2020</v>
      </c>
      <c r="E21" s="1">
        <v>2019</v>
      </c>
      <c r="F21" s="1">
        <v>2018</v>
      </c>
      <c r="G21" s="1">
        <v>2017</v>
      </c>
      <c r="J21" s="2" t="s">
        <v>244</v>
      </c>
      <c r="K21" s="86">
        <f>C61+C62+C63</f>
        <v>2585.02</v>
      </c>
    </row>
    <row r="22" spans="2:19" x14ac:dyDescent="0.2">
      <c r="B22" s="1" t="s">
        <v>11</v>
      </c>
      <c r="C22" s="86">
        <f>C58-D58+C59-D59+C60-D60+C69-D69</f>
        <v>-30.8900000000001</v>
      </c>
      <c r="D22" s="86">
        <f t="shared" ref="D22:F22" si="16">D58-E58+D59-E59+D60-E60+D69-E69</f>
        <v>238.77999999999861</v>
      </c>
      <c r="E22" s="86">
        <f t="shared" si="16"/>
        <v>1057.6900000000005</v>
      </c>
      <c r="F22" s="86">
        <f t="shared" si="16"/>
        <v>4201.8300000000008</v>
      </c>
      <c r="G22" s="86"/>
      <c r="J22" s="2" t="s">
        <v>247</v>
      </c>
      <c r="K22" s="86">
        <f>C68+C69+C80+C81</f>
        <v>3507.2900000000004</v>
      </c>
    </row>
    <row r="23" spans="2:19" x14ac:dyDescent="0.2">
      <c r="B23" s="1" t="s">
        <v>12</v>
      </c>
      <c r="C23" s="1">
        <v>0</v>
      </c>
      <c r="D23" s="1">
        <v>0</v>
      </c>
      <c r="E23" s="1">
        <v>0</v>
      </c>
      <c r="F23" s="1">
        <v>0</v>
      </c>
      <c r="G23" s="1"/>
      <c r="J23" s="1" t="s">
        <v>4</v>
      </c>
      <c r="K23" s="1"/>
    </row>
    <row r="24" spans="2:19" x14ac:dyDescent="0.2">
      <c r="B24" s="1" t="s">
        <v>13</v>
      </c>
      <c r="C24" s="86">
        <f>C73-D73+C76-D76+C80-D80+C81-D81</f>
        <v>1280.6900000000012</v>
      </c>
      <c r="D24" s="86">
        <f t="shared" ref="D24:F24" si="17">D73-E73+D75-E75+D76-E76+D79-E79+D80-E80+D81-E81</f>
        <v>3863.4099999999989</v>
      </c>
      <c r="E24" s="86">
        <f t="shared" si="17"/>
        <v>3892.1099999999988</v>
      </c>
      <c r="F24" s="86">
        <f t="shared" si="17"/>
        <v>118.00000000000023</v>
      </c>
      <c r="G24" s="86"/>
      <c r="J24" s="1" t="s">
        <v>32</v>
      </c>
      <c r="K24" s="86">
        <f>C93</f>
        <v>5.28</v>
      </c>
    </row>
    <row r="25" spans="2:19" x14ac:dyDescent="0.2">
      <c r="B25" s="1" t="s">
        <v>14</v>
      </c>
      <c r="C25" s="86">
        <f>C101-D101+C104-D104+C106-D106</f>
        <v>179.57999999999993</v>
      </c>
      <c r="D25" s="86">
        <f t="shared" ref="D25:F25" si="18">D101-E101+D104-E104+D106-E106</f>
        <v>-669.61999999999989</v>
      </c>
      <c r="E25" s="86">
        <f t="shared" si="18"/>
        <v>253.61999999999989</v>
      </c>
      <c r="F25" s="86">
        <f t="shared" si="18"/>
        <v>-1245.6000000000004</v>
      </c>
      <c r="G25" s="86"/>
      <c r="J25" s="1" t="s">
        <v>33</v>
      </c>
      <c r="K25" s="86">
        <f>C105+C95</f>
        <v>1487.52</v>
      </c>
    </row>
    <row r="26" spans="2:19" ht="16" x14ac:dyDescent="0.2">
      <c r="B26" s="1" t="s">
        <v>79</v>
      </c>
      <c r="C26" s="86">
        <f>K65</f>
        <v>1561.83</v>
      </c>
      <c r="D26" s="86">
        <f t="shared" ref="D26:F26" si="19">L65</f>
        <v>1563.27</v>
      </c>
      <c r="E26" s="86">
        <f t="shared" si="19"/>
        <v>1311.7</v>
      </c>
      <c r="F26" s="86">
        <f t="shared" si="19"/>
        <v>1145.3699999999999</v>
      </c>
      <c r="G26" s="86"/>
      <c r="J26" s="4" t="s">
        <v>71</v>
      </c>
      <c r="K26" s="86">
        <f>C106</f>
        <v>4369</v>
      </c>
    </row>
    <row r="27" spans="2:19" x14ac:dyDescent="0.2">
      <c r="B27" s="1" t="s">
        <v>15</v>
      </c>
      <c r="C27" s="86">
        <f>SUM(C22:C24)-C25</f>
        <v>1070.2200000000012</v>
      </c>
      <c r="D27" s="86">
        <f t="shared" ref="D27:F27" si="20">SUM(D22:D24)-D25</f>
        <v>4771.8099999999977</v>
      </c>
      <c r="E27" s="86">
        <f t="shared" si="20"/>
        <v>4696.1799999999994</v>
      </c>
      <c r="F27" s="86">
        <f t="shared" si="20"/>
        <v>5565.4300000000012</v>
      </c>
      <c r="G27" s="86"/>
      <c r="J27" s="1" t="s">
        <v>34</v>
      </c>
      <c r="K27" s="95">
        <f>K17+K18+K20+K21+K22-K24-K25-K26</f>
        <v>570471.99895944621</v>
      </c>
    </row>
    <row r="28" spans="2:19" ht="16" thickBot="1" x14ac:dyDescent="0.25">
      <c r="B28" s="6" t="s">
        <v>20</v>
      </c>
      <c r="J28" s="3" t="s">
        <v>35</v>
      </c>
      <c r="K28" s="86">
        <f>O29</f>
        <v>1232.0329999999999</v>
      </c>
      <c r="L28" t="s">
        <v>248</v>
      </c>
    </row>
    <row r="29" spans="2:19" ht="18" thickTop="1" thickBot="1" x14ac:dyDescent="0.25">
      <c r="B29" s="3" t="s">
        <v>21</v>
      </c>
      <c r="C29" s="86">
        <f>C89</f>
        <v>59004.579999999994</v>
      </c>
      <c r="D29" s="86">
        <f t="shared" ref="D29:F29" si="21">D89</f>
        <v>64029.16</v>
      </c>
      <c r="E29" s="86">
        <f t="shared" si="21"/>
        <v>57949.79</v>
      </c>
      <c r="F29" s="86">
        <f t="shared" si="21"/>
        <v>51400.07</v>
      </c>
      <c r="G29" s="1"/>
      <c r="J29" s="104" t="s">
        <v>36</v>
      </c>
      <c r="K29" s="105">
        <f>K27/K28</f>
        <v>463.0330510298395</v>
      </c>
      <c r="L29" s="89" t="e" vm="1">
        <v>#VALUE!</v>
      </c>
      <c r="M29" s="99" cm="1">
        <f t="array" ref="M29">_FV(L29,"Beta")</f>
        <v>0.72560000000000002</v>
      </c>
      <c r="N29" s="100" cm="1">
        <f t="array" ref="N29">_FV(L29,"Price")</f>
        <v>232.55</v>
      </c>
      <c r="O29" s="101" cm="1">
        <f t="array" ref="O29">_FV(L29,"Shares outstanding",TRUE)/10000000</f>
        <v>1232.0329999999999</v>
      </c>
      <c r="P29" s="101" cm="1">
        <f t="array" ref="P29">_FV(L29,"Market cap",TRUE)/10000000</f>
        <v>284907.59999999998</v>
      </c>
      <c r="R29" s="102"/>
    </row>
    <row r="30" spans="2:19" ht="16" thickTop="1" x14ac:dyDescent="0.2">
      <c r="B30" s="3" t="s">
        <v>22</v>
      </c>
      <c r="C30" s="86">
        <f>C93</f>
        <v>5.28</v>
      </c>
      <c r="D30" s="86">
        <f>D93</f>
        <v>5.63</v>
      </c>
      <c r="E30" s="86">
        <f>E93</f>
        <v>7.89</v>
      </c>
      <c r="F30" s="86">
        <f>F93</f>
        <v>11.13</v>
      </c>
      <c r="G30" s="86"/>
      <c r="J30" s="3" t="s">
        <v>37</v>
      </c>
      <c r="K30" s="98">
        <f>C89/K28</f>
        <v>47.892045099441326</v>
      </c>
    </row>
    <row r="31" spans="2:19" x14ac:dyDescent="0.2">
      <c r="B31" s="3" t="s">
        <v>23</v>
      </c>
      <c r="C31" s="86">
        <f>C29+C30</f>
        <v>59009.859999999993</v>
      </c>
      <c r="D31" s="86">
        <f t="shared" ref="D31:F31" si="22">D29+D30</f>
        <v>64034.79</v>
      </c>
      <c r="E31" s="86">
        <f t="shared" si="22"/>
        <v>57957.68</v>
      </c>
      <c r="F31" s="86">
        <f t="shared" si="22"/>
        <v>51411.199999999997</v>
      </c>
      <c r="G31" s="86"/>
      <c r="J31" s="3" t="s">
        <v>38</v>
      </c>
      <c r="K31" s="97">
        <f>N29</f>
        <v>232.55</v>
      </c>
    </row>
    <row r="32" spans="2:19" x14ac:dyDescent="0.2">
      <c r="J32" s="3" t="s">
        <v>39</v>
      </c>
      <c r="K32" s="98">
        <f>P29</f>
        <v>284907.59999999998</v>
      </c>
      <c r="L32" t="s">
        <v>248</v>
      </c>
    </row>
    <row r="33" spans="2:19" ht="16" x14ac:dyDescent="0.2">
      <c r="B33" s="5" t="s">
        <v>56</v>
      </c>
      <c r="K33" s="108" t="s">
        <v>261</v>
      </c>
    </row>
    <row r="34" spans="2:19" x14ac:dyDescent="0.2">
      <c r="B34" s="1" t="s">
        <v>18</v>
      </c>
      <c r="C34" s="86">
        <f>AVERAGE(C27:F27)</f>
        <v>4025.91</v>
      </c>
    </row>
    <row r="35" spans="2:19" x14ac:dyDescent="0.2">
      <c r="B35" s="1" t="s">
        <v>16</v>
      </c>
      <c r="C35" s="86">
        <f>C19</f>
        <v>17126.273999999998</v>
      </c>
    </row>
    <row r="36" spans="2:19" x14ac:dyDescent="0.2">
      <c r="B36" s="1" t="s">
        <v>17</v>
      </c>
      <c r="C36" s="94">
        <f>C34/C35</f>
        <v>0.23507214704144055</v>
      </c>
    </row>
    <row r="37" spans="2:19" x14ac:dyDescent="0.2">
      <c r="B37" s="1" t="s">
        <v>19</v>
      </c>
      <c r="C37" s="94">
        <f>C35/AVERAGE(C31:F31)</f>
        <v>0.29475519777183368</v>
      </c>
    </row>
    <row r="38" spans="2:19" x14ac:dyDescent="0.2">
      <c r="B38" s="1" t="s">
        <v>28</v>
      </c>
      <c r="C38" s="94">
        <f>C36*C37</f>
        <v>6.9288737191849373E-2</v>
      </c>
      <c r="O38" s="5" t="s">
        <v>75</v>
      </c>
    </row>
    <row r="39" spans="2:19" x14ac:dyDescent="0.2">
      <c r="J39" s="5" t="s">
        <v>74</v>
      </c>
      <c r="P39" t="s">
        <v>236</v>
      </c>
    </row>
    <row r="40" spans="2:19" ht="16" x14ac:dyDescent="0.2">
      <c r="B40" s="5" t="s">
        <v>40</v>
      </c>
      <c r="J40" s="4" t="s">
        <v>45</v>
      </c>
      <c r="K40" s="95">
        <f>AVERAGE('BETA Analysis'!Z3:Z12)</f>
        <v>0.46678604918714839</v>
      </c>
      <c r="N40" t="s">
        <v>76</v>
      </c>
      <c r="O40" s="97">
        <f>K29</f>
        <v>463.0330510298395</v>
      </c>
      <c r="P40" s="91">
        <f>Q40-1%</f>
        <v>0.21507214704144054</v>
      </c>
      <c r="Q40" s="91">
        <f>R40-1%</f>
        <v>0.22507214704144055</v>
      </c>
      <c r="R40" s="91">
        <f>C36</f>
        <v>0.23507214704144055</v>
      </c>
      <c r="S40" s="91">
        <f>R40+1%</f>
        <v>0.24507214704144056</v>
      </c>
    </row>
    <row r="41" spans="2:19" x14ac:dyDescent="0.2">
      <c r="B41" s="1" t="s">
        <v>41</v>
      </c>
      <c r="C41" s="91">
        <v>4.24E-2</v>
      </c>
      <c r="J41" s="1" t="s">
        <v>46</v>
      </c>
      <c r="K41" s="95">
        <f>AVERAGE('BETA Analysis'!AA3:AA12)</f>
        <v>0.129</v>
      </c>
      <c r="O41" s="91">
        <v>0.27</v>
      </c>
      <c r="P41" s="95">
        <f t="dataTable" ref="P41:S45" dt2D="1" dtr="1" r1="C36" r2="C37" ca="1"/>
        <v>370.72004309499755</v>
      </c>
      <c r="Q41" s="95">
        <v>356.49129061348128</v>
      </c>
      <c r="R41" s="95">
        <v>356.49129061348128</v>
      </c>
      <c r="S41" s="95">
        <v>370.72004309499755</v>
      </c>
    </row>
    <row r="42" spans="2:19" x14ac:dyDescent="0.2">
      <c r="B42" s="1" t="s">
        <v>42</v>
      </c>
      <c r="C42" s="94">
        <f>(23.7-4.24)%</f>
        <v>0.1946</v>
      </c>
      <c r="J42" s="1" t="s">
        <v>47</v>
      </c>
      <c r="K42" s="95">
        <v>0.35</v>
      </c>
      <c r="O42" s="91">
        <v>0.28000000000000003</v>
      </c>
      <c r="P42" s="95">
        <v>355.75851585422907</v>
      </c>
      <c r="Q42" s="95">
        <v>342.49406531457885</v>
      </c>
      <c r="R42" s="95">
        <v>342.49406531457885</v>
      </c>
      <c r="S42" s="95">
        <v>355.75851585422907</v>
      </c>
    </row>
    <row r="43" spans="2:19" x14ac:dyDescent="0.2">
      <c r="B43" s="1" t="s">
        <v>43</v>
      </c>
      <c r="C43" s="95">
        <f>K45</f>
        <v>0.43067403163458817</v>
      </c>
      <c r="J43" s="1" t="s">
        <v>48</v>
      </c>
      <c r="K43" s="95">
        <f>K40/(1+(K41)*(1-K42))</f>
        <v>0.43067403163458817</v>
      </c>
      <c r="O43" s="91">
        <f>C37</f>
        <v>0.29475519777183368</v>
      </c>
      <c r="P43" s="95">
        <v>330.46143396628707</v>
      </c>
      <c r="Q43" s="95">
        <v>319.49280288966565</v>
      </c>
      <c r="R43" s="95">
        <v>319.49280288966565</v>
      </c>
      <c r="S43" s="95">
        <v>330.46143396628707</v>
      </c>
    </row>
    <row r="44" spans="2:19" x14ac:dyDescent="0.2">
      <c r="B44" s="1" t="s">
        <v>44</v>
      </c>
      <c r="C44" s="96">
        <f>C41+C43*(C42-C41)</f>
        <v>0.10794858761478432</v>
      </c>
      <c r="J44" s="1" t="s">
        <v>49</v>
      </c>
      <c r="K44" s="95">
        <v>0</v>
      </c>
      <c r="O44" s="91">
        <v>0.3</v>
      </c>
      <c r="P44" s="95">
        <v>324.54935721168067</v>
      </c>
      <c r="Q44" s="95">
        <v>313.2886182714721</v>
      </c>
      <c r="R44" s="95">
        <v>313.2886182714721</v>
      </c>
      <c r="S44" s="95">
        <v>324.54935721168067</v>
      </c>
    </row>
    <row r="45" spans="2:19" x14ac:dyDescent="0.2">
      <c r="B45" s="1" t="s">
        <v>58</v>
      </c>
      <c r="C45" s="94">
        <f>(C29/C31)*C44</f>
        <v>0.10793892874518853</v>
      </c>
      <c r="J45" s="1" t="s">
        <v>50</v>
      </c>
      <c r="K45" s="95">
        <f>K43</f>
        <v>0.43067403163458817</v>
      </c>
      <c r="O45" s="91">
        <v>0.31</v>
      </c>
      <c r="P45" s="95">
        <v>308.99772824414771</v>
      </c>
      <c r="Q45" s="95">
        <v>298.70473758495319</v>
      </c>
      <c r="R45" s="95">
        <v>298.70473758495319</v>
      </c>
      <c r="S45" s="95">
        <v>308.99772824414771</v>
      </c>
    </row>
    <row r="46" spans="2:19" x14ac:dyDescent="0.2">
      <c r="B46" s="1" t="s">
        <v>51</v>
      </c>
      <c r="C46" s="91">
        <v>0.16239999999999999</v>
      </c>
    </row>
    <row r="47" spans="2:19" x14ac:dyDescent="0.2">
      <c r="B47" s="1" t="s">
        <v>52</v>
      </c>
      <c r="C47" s="91">
        <f>C17</f>
        <v>0.29827404806034707</v>
      </c>
    </row>
    <row r="48" spans="2:19" x14ac:dyDescent="0.2">
      <c r="B48" s="1" t="s">
        <v>59</v>
      </c>
      <c r="C48" s="95">
        <f>(C30/C31)*(C46)*(1-C47)%</f>
        <v>1.0196776529576551E-7</v>
      </c>
    </row>
    <row r="49" spans="1:25" x14ac:dyDescent="0.2">
      <c r="B49" s="1" t="s">
        <v>40</v>
      </c>
      <c r="C49" s="91">
        <f>C44</f>
        <v>0.10794858761478432</v>
      </c>
    </row>
    <row r="53" spans="1:25" x14ac:dyDescent="0.2">
      <c r="A53" s="179" t="s">
        <v>53</v>
      </c>
      <c r="B53" s="179"/>
      <c r="C53" s="178" t="s">
        <v>84</v>
      </c>
      <c r="D53" s="178"/>
      <c r="E53" s="178"/>
      <c r="F53" s="178"/>
      <c r="G53" s="178"/>
      <c r="H53" s="24"/>
      <c r="J53" s="25" t="s">
        <v>54</v>
      </c>
      <c r="K53" s="178" t="s">
        <v>150</v>
      </c>
      <c r="L53" s="178"/>
      <c r="M53" s="178"/>
      <c r="N53" s="178"/>
      <c r="O53" s="178"/>
      <c r="P53" s="24"/>
      <c r="Q53" s="24"/>
      <c r="R53" s="5" t="s">
        <v>55</v>
      </c>
      <c r="T53" s="178" t="s">
        <v>150</v>
      </c>
      <c r="U53" s="178"/>
      <c r="V53" s="178"/>
      <c r="W53" s="178"/>
      <c r="X53" s="24"/>
    </row>
    <row r="54" spans="1:25" x14ac:dyDescent="0.2">
      <c r="A54" t="s">
        <v>85</v>
      </c>
      <c r="C54" s="10">
        <v>2021</v>
      </c>
      <c r="D54" s="10">
        <v>2020</v>
      </c>
      <c r="E54" s="10">
        <v>2019</v>
      </c>
      <c r="F54" s="10">
        <v>2018</v>
      </c>
      <c r="G54" s="10">
        <v>2017</v>
      </c>
      <c r="H54" s="23"/>
      <c r="I54" s="9" t="s">
        <v>85</v>
      </c>
      <c r="K54" s="10">
        <v>2021</v>
      </c>
      <c r="L54" s="10">
        <v>2020</v>
      </c>
      <c r="M54" s="10">
        <v>2019</v>
      </c>
      <c r="N54" s="10">
        <v>2018</v>
      </c>
      <c r="O54" s="10">
        <v>2017</v>
      </c>
      <c r="Q54" s="9"/>
      <c r="R54" s="9"/>
      <c r="S54" s="10">
        <v>2021</v>
      </c>
      <c r="T54" s="10">
        <v>2020</v>
      </c>
      <c r="U54" s="10">
        <v>2019</v>
      </c>
      <c r="V54" s="10">
        <v>2018</v>
      </c>
      <c r="W54" s="10">
        <v>2017</v>
      </c>
    </row>
    <row r="55" spans="1:25" ht="16" x14ac:dyDescent="0.2">
      <c r="B55" s="11" t="s">
        <v>81</v>
      </c>
      <c r="C55" s="49"/>
      <c r="D55" s="49"/>
      <c r="E55" s="49"/>
      <c r="F55" s="49"/>
      <c r="G55" s="49"/>
      <c r="H55" s="9"/>
      <c r="I55" s="9">
        <v>1</v>
      </c>
      <c r="J55" s="26" t="s">
        <v>151</v>
      </c>
      <c r="K55" s="49">
        <v>48524.54</v>
      </c>
      <c r="L55" s="49">
        <v>46807.34</v>
      </c>
      <c r="M55" s="49">
        <v>45784.39</v>
      </c>
      <c r="N55" s="49">
        <v>44239.77</v>
      </c>
      <c r="O55" s="49">
        <v>55448.46</v>
      </c>
      <c r="P55" s="9"/>
      <c r="Q55" s="13"/>
      <c r="R55" s="34" t="s">
        <v>182</v>
      </c>
      <c r="S55" s="9"/>
    </row>
    <row r="56" spans="1:25" ht="17" thickBot="1" x14ac:dyDescent="0.25">
      <c r="B56" s="12"/>
      <c r="C56" s="49"/>
      <c r="D56" s="49"/>
      <c r="E56" s="49"/>
      <c r="F56" s="49"/>
      <c r="G56" s="49"/>
      <c r="H56" s="9"/>
      <c r="I56" s="9">
        <v>2</v>
      </c>
      <c r="J56" s="26" t="s">
        <v>152</v>
      </c>
      <c r="K56" s="49">
        <v>3250.99</v>
      </c>
      <c r="L56" s="49">
        <v>3013.66</v>
      </c>
      <c r="M56" s="49">
        <v>2484.54</v>
      </c>
      <c r="N56" s="49">
        <v>2129.84</v>
      </c>
      <c r="O56" s="49">
        <v>1985.91</v>
      </c>
      <c r="P56" s="9"/>
      <c r="Q56" s="14"/>
      <c r="R56" s="9" t="s">
        <v>169</v>
      </c>
      <c r="S56" s="49">
        <f>K70</f>
        <v>17164.149999999994</v>
      </c>
      <c r="T56" s="49">
        <f t="shared" ref="T56:W56" si="23">L70</f>
        <v>19166.809999999998</v>
      </c>
      <c r="U56" s="49">
        <f t="shared" si="23"/>
        <v>18444.16</v>
      </c>
      <c r="V56" s="49">
        <f t="shared" si="23"/>
        <v>16851.7</v>
      </c>
      <c r="W56" s="49">
        <f t="shared" si="23"/>
        <v>15502.960000000006</v>
      </c>
    </row>
    <row r="57" spans="1:25" ht="16" x14ac:dyDescent="0.2">
      <c r="B57" s="11" t="s">
        <v>82</v>
      </c>
      <c r="C57" s="49"/>
      <c r="D57" s="49"/>
      <c r="E57" s="49"/>
      <c r="F57" s="49"/>
      <c r="G57" s="49"/>
      <c r="H57" s="9"/>
      <c r="I57" s="9">
        <v>3</v>
      </c>
      <c r="J57" s="42" t="s">
        <v>153</v>
      </c>
      <c r="K57" s="50">
        <f>K55+K56</f>
        <v>51775.53</v>
      </c>
      <c r="L57" s="50">
        <f t="shared" ref="L57:O57" si="24">L55+L56</f>
        <v>49821</v>
      </c>
      <c r="M57" s="50">
        <f t="shared" si="24"/>
        <v>48268.93</v>
      </c>
      <c r="N57" s="50">
        <f t="shared" si="24"/>
        <v>46369.61</v>
      </c>
      <c r="O57" s="50">
        <f t="shared" si="24"/>
        <v>57434.37</v>
      </c>
      <c r="P57" s="9"/>
      <c r="Q57" s="15"/>
      <c r="R57" s="19" t="s">
        <v>183</v>
      </c>
      <c r="S57" s="49"/>
      <c r="T57" s="68"/>
      <c r="U57" s="68"/>
      <c r="V57" s="68"/>
      <c r="W57" s="68"/>
    </row>
    <row r="58" spans="1:25" ht="16" x14ac:dyDescent="0.2">
      <c r="A58" s="18" t="s">
        <v>86</v>
      </c>
      <c r="B58" s="109" t="s">
        <v>83</v>
      </c>
      <c r="C58" s="49">
        <v>18489.91</v>
      </c>
      <c r="D58" s="49">
        <v>18932.57</v>
      </c>
      <c r="E58" s="49">
        <v>17945.650000000001</v>
      </c>
      <c r="F58" s="49">
        <v>15120</v>
      </c>
      <c r="G58" s="49">
        <v>14469.32</v>
      </c>
      <c r="H58" s="51"/>
      <c r="I58" s="19">
        <v>4</v>
      </c>
      <c r="J58" s="26" t="s">
        <v>154</v>
      </c>
      <c r="K58" s="49"/>
      <c r="L58" s="49"/>
      <c r="M58" s="49"/>
      <c r="N58" s="49"/>
      <c r="O58" s="49"/>
      <c r="P58" s="9"/>
      <c r="Q58" s="14"/>
      <c r="R58" s="19" t="s">
        <v>184</v>
      </c>
      <c r="S58" s="49">
        <f>K65</f>
        <v>1561.83</v>
      </c>
      <c r="T58" s="49">
        <f t="shared" ref="T58:U58" si="25">L65</f>
        <v>1563.27</v>
      </c>
      <c r="U58" s="49">
        <f t="shared" si="25"/>
        <v>1311.7</v>
      </c>
      <c r="V58" s="49">
        <v>1145.3699999999999</v>
      </c>
      <c r="W58" s="49">
        <v>1038.04</v>
      </c>
    </row>
    <row r="59" spans="1:25" ht="17" x14ac:dyDescent="0.2">
      <c r="A59" t="s">
        <v>87</v>
      </c>
      <c r="B59" s="17" t="s">
        <v>89</v>
      </c>
      <c r="C59" s="49">
        <v>3329.97</v>
      </c>
      <c r="D59" s="49">
        <v>2776.31</v>
      </c>
      <c r="E59" s="49">
        <v>3391.47</v>
      </c>
      <c r="F59" s="49">
        <v>5016.8500000000004</v>
      </c>
      <c r="G59" s="49">
        <v>3491.33</v>
      </c>
      <c r="H59" s="51"/>
      <c r="I59" s="9"/>
      <c r="J59" s="27" t="s">
        <v>155</v>
      </c>
      <c r="K59" s="51">
        <v>13605.07</v>
      </c>
      <c r="L59" s="51">
        <v>13121.76</v>
      </c>
      <c r="M59" s="49">
        <v>13184.97</v>
      </c>
      <c r="N59" s="49">
        <v>11756.21</v>
      </c>
      <c r="O59" s="49">
        <v>11765.56</v>
      </c>
      <c r="P59" s="9"/>
      <c r="Q59" s="14"/>
      <c r="R59" s="19" t="s">
        <v>185</v>
      </c>
      <c r="S59" s="49">
        <v>27.15</v>
      </c>
      <c r="T59" s="68">
        <v>105.77</v>
      </c>
      <c r="U59" s="68">
        <v>232.89</v>
      </c>
      <c r="V59" s="68">
        <v>349.28</v>
      </c>
      <c r="W59" s="68">
        <v>450.32</v>
      </c>
    </row>
    <row r="60" spans="1:25" ht="16" x14ac:dyDescent="0.2">
      <c r="A60" t="s">
        <v>88</v>
      </c>
      <c r="B60" s="17" t="s">
        <v>90</v>
      </c>
      <c r="C60" s="49">
        <v>376.56</v>
      </c>
      <c r="D60" s="49">
        <v>385.36</v>
      </c>
      <c r="E60" s="49">
        <v>0</v>
      </c>
      <c r="F60" s="49">
        <v>0</v>
      </c>
      <c r="G60" s="49">
        <v>0</v>
      </c>
      <c r="H60" s="9"/>
      <c r="I60" s="9"/>
      <c r="J60" s="26" t="s">
        <v>156</v>
      </c>
      <c r="K60" s="51">
        <v>6896.4</v>
      </c>
      <c r="L60" s="51">
        <v>4289.71</v>
      </c>
      <c r="M60" s="49">
        <v>4300.32</v>
      </c>
      <c r="N60" s="49">
        <v>2991.98</v>
      </c>
      <c r="O60" s="49">
        <v>3566.57</v>
      </c>
      <c r="P60" s="9"/>
      <c r="Q60" s="14"/>
      <c r="R60" s="19" t="s">
        <v>180</v>
      </c>
      <c r="S60" s="49">
        <f>K64</f>
        <v>47.47</v>
      </c>
      <c r="T60" s="49">
        <f t="shared" ref="T60:U60" si="26">L64</f>
        <v>55.72</v>
      </c>
      <c r="U60" s="49">
        <f t="shared" si="26"/>
        <v>34.19</v>
      </c>
      <c r="V60" s="49">
        <v>86.65</v>
      </c>
      <c r="W60" s="49">
        <v>22.95</v>
      </c>
      <c r="Y60" s="9"/>
    </row>
    <row r="61" spans="1:25" s="28" customFormat="1" ht="51" x14ac:dyDescent="0.2">
      <c r="A61" s="28" t="s">
        <v>91</v>
      </c>
      <c r="B61" s="29" t="s">
        <v>92</v>
      </c>
      <c r="C61" s="54">
        <v>577.20000000000005</v>
      </c>
      <c r="D61" s="61" t="s">
        <v>93</v>
      </c>
      <c r="E61" s="52">
        <v>0</v>
      </c>
      <c r="F61" s="52">
        <v>0</v>
      </c>
      <c r="G61" s="52">
        <v>0</v>
      </c>
      <c r="H61" s="31"/>
      <c r="I61" s="31"/>
      <c r="J61" s="32" t="s">
        <v>157</v>
      </c>
      <c r="K61" s="52">
        <v>-526.86</v>
      </c>
      <c r="L61" s="52">
        <v>-176.34</v>
      </c>
      <c r="M61" s="52">
        <v>-180.14</v>
      </c>
      <c r="N61" s="52">
        <v>1041.8499999999999</v>
      </c>
      <c r="O61" s="52">
        <v>644.16999999999996</v>
      </c>
      <c r="P61" s="31"/>
      <c r="Q61" s="33"/>
      <c r="R61" s="31" t="s">
        <v>186</v>
      </c>
      <c r="S61" s="52">
        <v>-1224.82</v>
      </c>
      <c r="T61" s="53">
        <v>-1438.87</v>
      </c>
      <c r="U61" s="53">
        <v>-1242.6199999999999</v>
      </c>
      <c r="V61" s="53">
        <v>-917.8</v>
      </c>
      <c r="W61" s="53">
        <v>-864.58</v>
      </c>
    </row>
    <row r="62" spans="1:25" ht="16" x14ac:dyDescent="0.2">
      <c r="A62" t="s">
        <v>94</v>
      </c>
      <c r="B62" s="17" t="s">
        <v>95</v>
      </c>
      <c r="C62" s="51">
        <v>2004.32</v>
      </c>
      <c r="D62" s="51">
        <v>519.45000000000005</v>
      </c>
      <c r="E62" s="49">
        <v>540.75</v>
      </c>
      <c r="F62" s="49">
        <v>445.99</v>
      </c>
      <c r="G62" s="49">
        <v>410.92</v>
      </c>
      <c r="H62" s="9"/>
      <c r="I62" s="9"/>
      <c r="J62" s="26" t="s">
        <v>158</v>
      </c>
      <c r="K62" s="51">
        <v>3039.43</v>
      </c>
      <c r="L62" s="51">
        <v>1187.6400000000001</v>
      </c>
      <c r="M62" s="49">
        <v>788.74</v>
      </c>
      <c r="N62" s="49">
        <v>3702.23</v>
      </c>
      <c r="O62" s="49">
        <v>2444.31</v>
      </c>
      <c r="P62" s="9"/>
      <c r="Q62" s="15"/>
      <c r="R62" s="19" t="s">
        <v>187</v>
      </c>
      <c r="S62" s="49">
        <v>-723.94</v>
      </c>
      <c r="T62" s="68">
        <v>-551.11</v>
      </c>
      <c r="U62" s="68">
        <v>-415.9</v>
      </c>
      <c r="V62" s="68">
        <v>-409.79</v>
      </c>
      <c r="W62" s="68">
        <v>-248.85</v>
      </c>
    </row>
    <row r="63" spans="1:25" ht="16" x14ac:dyDescent="0.2">
      <c r="A63" t="s">
        <v>96</v>
      </c>
      <c r="B63" s="17" t="s">
        <v>97</v>
      </c>
      <c r="C63" s="51">
        <v>3.5</v>
      </c>
      <c r="D63" s="51">
        <v>3.89</v>
      </c>
      <c r="E63" s="49">
        <v>9.89</v>
      </c>
      <c r="F63" s="49">
        <v>8.73</v>
      </c>
      <c r="G63" s="49">
        <v>45.69</v>
      </c>
      <c r="H63" s="9"/>
      <c r="I63" s="9"/>
      <c r="J63" s="26" t="s">
        <v>159</v>
      </c>
      <c r="K63" s="51">
        <v>2820.95</v>
      </c>
      <c r="L63" s="51">
        <v>2658.21</v>
      </c>
      <c r="M63" s="49">
        <v>2728.44</v>
      </c>
      <c r="N63" s="49">
        <v>2487.46</v>
      </c>
      <c r="O63" s="51">
        <v>15359.78</v>
      </c>
      <c r="P63" s="9"/>
      <c r="Q63" s="14"/>
      <c r="R63" s="19" t="s">
        <v>188</v>
      </c>
      <c r="S63" s="49">
        <v>55.04</v>
      </c>
      <c r="T63" s="68">
        <v>56.08</v>
      </c>
      <c r="U63" s="68">
        <v>102.11</v>
      </c>
      <c r="V63" s="68">
        <v>14.48</v>
      </c>
      <c r="W63" s="68">
        <v>5</v>
      </c>
    </row>
    <row r="64" spans="1:25" s="28" customFormat="1" ht="16" x14ac:dyDescent="0.2">
      <c r="A64" s="28" t="s">
        <v>98</v>
      </c>
      <c r="B64" s="29" t="s">
        <v>100</v>
      </c>
      <c r="C64" s="54">
        <v>726.84</v>
      </c>
      <c r="D64" s="54">
        <v>680.17</v>
      </c>
      <c r="E64" s="52">
        <v>0</v>
      </c>
      <c r="F64" s="52">
        <v>0</v>
      </c>
      <c r="G64" s="52">
        <v>0</v>
      </c>
      <c r="H64" s="31"/>
      <c r="I64" s="31"/>
      <c r="J64" s="28" t="s">
        <v>180</v>
      </c>
      <c r="K64" s="53">
        <v>47.47</v>
      </c>
      <c r="L64" s="53">
        <v>55.72</v>
      </c>
      <c r="M64" s="53">
        <v>34.19</v>
      </c>
      <c r="N64" s="53">
        <v>86.65</v>
      </c>
      <c r="O64" s="49">
        <v>22.95</v>
      </c>
      <c r="P64" s="31"/>
      <c r="Q64" s="33"/>
      <c r="R64" s="31" t="s">
        <v>189</v>
      </c>
      <c r="S64" s="52">
        <v>26.02</v>
      </c>
      <c r="T64" s="53">
        <v>16.170000000000002</v>
      </c>
      <c r="U64" s="53">
        <v>21.65</v>
      </c>
      <c r="V64" s="53">
        <v>25.14</v>
      </c>
      <c r="W64" s="53">
        <v>30.74</v>
      </c>
    </row>
    <row r="65" spans="1:23" ht="34" x14ac:dyDescent="0.2">
      <c r="A65" t="s">
        <v>99</v>
      </c>
      <c r="B65" s="17" t="s">
        <v>101</v>
      </c>
      <c r="C65" s="49"/>
      <c r="D65" s="49"/>
      <c r="E65" s="49"/>
      <c r="F65" s="49"/>
      <c r="G65" s="49"/>
      <c r="H65" s="9"/>
      <c r="I65" s="9"/>
      <c r="J65" s="32" t="s">
        <v>160</v>
      </c>
      <c r="K65" s="52">
        <v>1561.83</v>
      </c>
      <c r="L65" s="52">
        <v>1563.27</v>
      </c>
      <c r="M65" s="52">
        <v>1311.7</v>
      </c>
      <c r="N65" s="52">
        <v>1145.3699999999999</v>
      </c>
      <c r="O65" s="53">
        <v>1038.04</v>
      </c>
      <c r="P65" s="9"/>
      <c r="Q65" s="14"/>
      <c r="R65" s="73" t="s">
        <v>190</v>
      </c>
      <c r="S65" s="49">
        <v>33.04</v>
      </c>
      <c r="T65" s="68">
        <v>-1.71</v>
      </c>
      <c r="U65" s="68">
        <v>5.3</v>
      </c>
      <c r="V65" s="68">
        <v>3.74</v>
      </c>
      <c r="W65" s="68">
        <v>1.25</v>
      </c>
    </row>
    <row r="66" spans="1:23" ht="17" thickBot="1" x14ac:dyDescent="0.25">
      <c r="A66" t="s">
        <v>102</v>
      </c>
      <c r="B66" s="17" t="s">
        <v>103</v>
      </c>
      <c r="C66" s="51">
        <v>12950.38</v>
      </c>
      <c r="D66" s="51">
        <v>13455.59</v>
      </c>
      <c r="E66" s="49">
        <v>14071.45</v>
      </c>
      <c r="F66" s="49">
        <v>13493.77</v>
      </c>
      <c r="G66" s="49">
        <v>8485.51</v>
      </c>
      <c r="H66" s="9"/>
      <c r="I66" s="9"/>
      <c r="J66" s="26" t="s">
        <v>161</v>
      </c>
      <c r="K66" s="54">
        <v>7167.09</v>
      </c>
      <c r="L66" s="54">
        <v>7822.11</v>
      </c>
      <c r="M66" s="49">
        <v>7656.55</v>
      </c>
      <c r="N66" s="49">
        <v>6809.06</v>
      </c>
      <c r="O66" s="52">
        <v>7090.03</v>
      </c>
      <c r="P66" s="9"/>
      <c r="Q66" s="14"/>
      <c r="R66" s="9" t="s">
        <v>191</v>
      </c>
      <c r="S66" s="49">
        <v>0</v>
      </c>
      <c r="T66" s="68">
        <v>10</v>
      </c>
      <c r="U66" s="68">
        <v>0</v>
      </c>
      <c r="V66" s="68">
        <v>23.45</v>
      </c>
      <c r="W66" s="68">
        <v>16.29</v>
      </c>
    </row>
    <row r="67" spans="1:23" s="28" customFormat="1" ht="17" thickBot="1" x14ac:dyDescent="0.25">
      <c r="A67" s="28" t="s">
        <v>104</v>
      </c>
      <c r="B67" s="29" t="s">
        <v>105</v>
      </c>
      <c r="C67" s="54">
        <v>2.37</v>
      </c>
      <c r="D67" s="54">
        <v>3.31</v>
      </c>
      <c r="E67" s="52">
        <v>6.21</v>
      </c>
      <c r="F67" s="52">
        <v>7.4</v>
      </c>
      <c r="G67" s="52">
        <v>5.84</v>
      </c>
      <c r="H67" s="31"/>
      <c r="I67" s="31">
        <v>5</v>
      </c>
      <c r="J67" s="74" t="s">
        <v>162</v>
      </c>
      <c r="K67" s="75">
        <f>SUM(K59:K66)</f>
        <v>34611.380000000005</v>
      </c>
      <c r="L67" s="75">
        <f>SUM(L59:L66)</f>
        <v>30522.080000000002</v>
      </c>
      <c r="M67" s="75">
        <f>SUM(M59:M66)</f>
        <v>29824.77</v>
      </c>
      <c r="N67" s="75">
        <f>SUM(N59:N66)</f>
        <v>30020.81</v>
      </c>
      <c r="O67" s="75">
        <f>SUM(O59:O66)</f>
        <v>41931.409999999996</v>
      </c>
      <c r="P67" s="31"/>
      <c r="Q67" s="33"/>
      <c r="R67" s="28" t="s">
        <v>242</v>
      </c>
      <c r="S67" s="53">
        <v>0</v>
      </c>
      <c r="T67" s="53">
        <v>0</v>
      </c>
      <c r="U67" s="53">
        <v>-9.4</v>
      </c>
      <c r="V67" s="53">
        <v>-9.61</v>
      </c>
      <c r="W67" s="53">
        <v>-203.95</v>
      </c>
    </row>
    <row r="68" spans="1:23" s="28" customFormat="1" ht="48" x14ac:dyDescent="0.2">
      <c r="A68" s="28" t="s">
        <v>106</v>
      </c>
      <c r="B68" s="29" t="s">
        <v>107</v>
      </c>
      <c r="C68" s="54">
        <v>72.45</v>
      </c>
      <c r="D68" s="54">
        <v>607.09</v>
      </c>
      <c r="E68" s="52">
        <v>2380.4899999999998</v>
      </c>
      <c r="F68" s="52">
        <v>1741.28</v>
      </c>
      <c r="G68" s="52">
        <v>99.83</v>
      </c>
      <c r="H68" s="31"/>
      <c r="I68" s="31">
        <v>6</v>
      </c>
      <c r="J68" s="43" t="s">
        <v>163</v>
      </c>
      <c r="K68" s="55">
        <f>K57-K67</f>
        <v>17164.149999999994</v>
      </c>
      <c r="L68" s="55">
        <f>L57-L67</f>
        <v>19298.919999999998</v>
      </c>
      <c r="M68" s="55">
        <f>M57-M67</f>
        <v>18444.16</v>
      </c>
      <c r="N68" s="55">
        <f>N57-N67</f>
        <v>16348.8</v>
      </c>
      <c r="O68" s="55">
        <f>O57-O67</f>
        <v>15502.960000000006</v>
      </c>
      <c r="P68" s="31"/>
      <c r="Q68" s="33"/>
      <c r="R68" s="38" t="s">
        <v>192</v>
      </c>
      <c r="S68" s="52">
        <v>-1107.53</v>
      </c>
      <c r="T68" s="53">
        <v>-944.25</v>
      </c>
      <c r="U68" s="53">
        <v>-751.79</v>
      </c>
      <c r="V68" s="53">
        <v>-716.81</v>
      </c>
      <c r="W68" s="53">
        <v>-605.20000000000005</v>
      </c>
    </row>
    <row r="69" spans="1:23" s="28" customFormat="1" ht="17" thickBot="1" x14ac:dyDescent="0.25">
      <c r="A69" s="28" t="s">
        <v>108</v>
      </c>
      <c r="B69" s="29" t="s">
        <v>109</v>
      </c>
      <c r="C69" s="54">
        <v>1231.6199999999999</v>
      </c>
      <c r="D69" s="54">
        <v>1364.71</v>
      </c>
      <c r="E69" s="52">
        <v>1883.05</v>
      </c>
      <c r="F69" s="52">
        <v>2025.63</v>
      </c>
      <c r="G69" s="52">
        <v>0</v>
      </c>
      <c r="H69" s="31"/>
      <c r="I69" s="31">
        <v>7</v>
      </c>
      <c r="J69" s="76" t="s">
        <v>164</v>
      </c>
      <c r="K69" s="52">
        <v>0</v>
      </c>
      <c r="L69" s="54">
        <v>-132.11000000000001</v>
      </c>
      <c r="M69" s="52">
        <v>0</v>
      </c>
      <c r="N69" s="52">
        <v>412.9</v>
      </c>
      <c r="O69" s="52">
        <v>0</v>
      </c>
      <c r="P69" s="31"/>
      <c r="Q69" s="33"/>
      <c r="R69" s="38" t="s">
        <v>193</v>
      </c>
      <c r="S69" s="52">
        <v>-13</v>
      </c>
      <c r="T69" s="53">
        <v>0.44</v>
      </c>
      <c r="U69" s="53">
        <v>2.2999999999999998</v>
      </c>
      <c r="V69" s="80">
        <v>4.46</v>
      </c>
      <c r="W69" s="80">
        <v>6.9</v>
      </c>
    </row>
    <row r="70" spans="1:23" ht="32" x14ac:dyDescent="0.2">
      <c r="B70" s="87" t="s">
        <v>237</v>
      </c>
      <c r="C70" s="54">
        <v>0</v>
      </c>
      <c r="D70" s="54">
        <v>0</v>
      </c>
      <c r="E70" s="54">
        <v>0</v>
      </c>
      <c r="F70" s="54">
        <v>18.66</v>
      </c>
      <c r="G70" s="54">
        <v>2670.12</v>
      </c>
      <c r="H70" s="19"/>
      <c r="I70" s="19">
        <v>8</v>
      </c>
      <c r="J70" s="46" t="s">
        <v>169</v>
      </c>
      <c r="K70" s="56">
        <f>K68+K69</f>
        <v>17164.149999999994</v>
      </c>
      <c r="L70" s="56">
        <f t="shared" ref="L70:O70" si="27">L68+L69</f>
        <v>19166.809999999998</v>
      </c>
      <c r="M70" s="56">
        <f t="shared" si="27"/>
        <v>18444.16</v>
      </c>
      <c r="N70" s="56">
        <v>16851.7</v>
      </c>
      <c r="O70" s="56">
        <f t="shared" si="27"/>
        <v>15502.960000000006</v>
      </c>
      <c r="P70" s="9"/>
      <c r="Q70" s="14"/>
      <c r="R70" s="77" t="s">
        <v>194</v>
      </c>
      <c r="S70" s="80">
        <f>S56+SUM(S58:S69)</f>
        <v>15845.409999999994</v>
      </c>
      <c r="T70" s="81">
        <f>T56+SUM(T58:T69)</f>
        <v>18038.32</v>
      </c>
      <c r="U70" s="80">
        <f>U56+SUM(U58:U69)</f>
        <v>17734.59</v>
      </c>
      <c r="V70" s="80">
        <f t="shared" ref="V70:W70" si="28">V56+SUM(V58:V69)</f>
        <v>16450.260000000002</v>
      </c>
      <c r="W70" s="80">
        <f t="shared" si="28"/>
        <v>15151.870000000006</v>
      </c>
    </row>
    <row r="71" spans="1:23" ht="16" x14ac:dyDescent="0.2">
      <c r="B71" s="11" t="s">
        <v>147</v>
      </c>
      <c r="C71" s="88">
        <f>SUM(C58:C70)</f>
        <v>39765.120000000003</v>
      </c>
      <c r="D71" s="88">
        <f>SUM(D58:D70)</f>
        <v>38728.44999999999</v>
      </c>
      <c r="E71" s="88">
        <f>SUM(E58:E70)</f>
        <v>40228.960000000006</v>
      </c>
      <c r="F71" s="88">
        <f>SUM(F58:F70)</f>
        <v>37878.31</v>
      </c>
      <c r="G71" s="88">
        <f>SUM(G58:G70)</f>
        <v>29678.559999999998</v>
      </c>
      <c r="H71" s="9"/>
      <c r="I71" s="9"/>
      <c r="J71" s="26" t="s">
        <v>165</v>
      </c>
      <c r="K71" s="49"/>
      <c r="L71" s="49"/>
      <c r="M71" s="49"/>
      <c r="N71" s="49"/>
      <c r="O71" s="49"/>
      <c r="P71" s="9"/>
      <c r="Q71" s="14"/>
      <c r="R71" s="79" t="s">
        <v>183</v>
      </c>
      <c r="S71" s="49"/>
      <c r="T71" s="68"/>
      <c r="U71" s="68"/>
      <c r="V71" s="68"/>
      <c r="W71" s="68"/>
    </row>
    <row r="72" spans="1:23" ht="16" x14ac:dyDescent="0.2">
      <c r="B72" s="11" t="s">
        <v>110</v>
      </c>
      <c r="C72" s="49"/>
      <c r="D72" s="49"/>
      <c r="E72" s="49"/>
      <c r="F72" s="49"/>
      <c r="G72" s="49"/>
      <c r="H72" s="9"/>
      <c r="I72" s="9"/>
      <c r="J72" s="26" t="s">
        <v>166</v>
      </c>
      <c r="K72" s="49">
        <v>4035.36</v>
      </c>
      <c r="L72" s="49">
        <v>4441.97</v>
      </c>
      <c r="M72" s="49">
        <v>5849.24</v>
      </c>
      <c r="N72" s="49">
        <v>5599.83</v>
      </c>
      <c r="O72" s="49">
        <v>5285.65</v>
      </c>
      <c r="P72" s="9"/>
      <c r="Q72" s="14"/>
      <c r="R72" s="79" t="s">
        <v>195</v>
      </c>
      <c r="S72" s="49">
        <v>-99.38</v>
      </c>
      <c r="T72" s="68">
        <v>1527.33</v>
      </c>
      <c r="U72" s="68">
        <v>-698.7</v>
      </c>
      <c r="V72" s="68">
        <v>-784.11</v>
      </c>
      <c r="W72" s="68">
        <v>-859.05</v>
      </c>
    </row>
    <row r="73" spans="1:23" ht="17" thickBot="1" x14ac:dyDescent="0.25">
      <c r="A73" t="s">
        <v>86</v>
      </c>
      <c r="B73" s="17" t="s">
        <v>111</v>
      </c>
      <c r="C73" s="51">
        <v>9470.8700000000008</v>
      </c>
      <c r="D73" s="51">
        <v>8038.07</v>
      </c>
      <c r="E73" s="49">
        <v>7587.24</v>
      </c>
      <c r="F73" s="49">
        <v>7237.15</v>
      </c>
      <c r="G73" s="54">
        <v>7863.99</v>
      </c>
      <c r="H73" s="51"/>
      <c r="I73" s="9">
        <v>9</v>
      </c>
      <c r="J73" s="26" t="s">
        <v>167</v>
      </c>
      <c r="K73" s="49">
        <v>97.15</v>
      </c>
      <c r="L73" s="49">
        <v>-411.21</v>
      </c>
      <c r="M73" s="49">
        <v>130.6</v>
      </c>
      <c r="N73" s="49">
        <v>28.62</v>
      </c>
      <c r="O73" s="49">
        <v>16.41</v>
      </c>
      <c r="P73" s="9"/>
      <c r="Q73" s="14"/>
      <c r="R73" s="79" t="s">
        <v>111</v>
      </c>
      <c r="S73" s="49">
        <v>-1350.89</v>
      </c>
      <c r="T73" s="68">
        <v>-450.83</v>
      </c>
      <c r="U73" s="68">
        <v>-350.09</v>
      </c>
      <c r="V73" s="68">
        <v>626.84</v>
      </c>
      <c r="W73" s="68">
        <v>655.83</v>
      </c>
    </row>
    <row r="74" spans="1:23" ht="16" x14ac:dyDescent="0.2">
      <c r="A74" t="s">
        <v>87</v>
      </c>
      <c r="B74" s="17" t="s">
        <v>101</v>
      </c>
      <c r="C74" s="49"/>
      <c r="D74" s="49"/>
      <c r="E74" s="49"/>
      <c r="F74" s="49"/>
      <c r="H74" s="9"/>
      <c r="I74" s="9"/>
      <c r="J74" s="44" t="s">
        <v>168</v>
      </c>
      <c r="K74" s="56">
        <f>K70-(K72+K73)</f>
        <v>13031.639999999994</v>
      </c>
      <c r="L74" s="56">
        <f t="shared" ref="L74:O74" si="29">L70-(L72+L73)</f>
        <v>15136.049999999997</v>
      </c>
      <c r="M74" s="56">
        <f t="shared" si="29"/>
        <v>12464.32</v>
      </c>
      <c r="N74" s="56">
        <f t="shared" si="29"/>
        <v>11223.25</v>
      </c>
      <c r="O74" s="56">
        <f t="shared" si="29"/>
        <v>10200.900000000007</v>
      </c>
      <c r="P74" s="9"/>
      <c r="Q74" s="15"/>
      <c r="R74" s="79" t="s">
        <v>196</v>
      </c>
      <c r="S74" s="49">
        <v>1055.43</v>
      </c>
      <c r="T74" s="68">
        <v>-658.5</v>
      </c>
      <c r="U74" s="68">
        <v>549.13</v>
      </c>
      <c r="V74" s="68">
        <v>2077.4299999999998</v>
      </c>
      <c r="W74" s="68">
        <v>266.33</v>
      </c>
    </row>
    <row r="75" spans="1:23" ht="16" x14ac:dyDescent="0.2">
      <c r="A75" t="s">
        <v>112</v>
      </c>
      <c r="B75" s="17" t="s">
        <v>103</v>
      </c>
      <c r="C75" s="49">
        <v>14046.71</v>
      </c>
      <c r="D75" s="49">
        <v>17175.02</v>
      </c>
      <c r="E75" s="49">
        <v>12506.55</v>
      </c>
      <c r="F75" s="49">
        <v>9903.4500000000007</v>
      </c>
      <c r="G75" s="49">
        <v>10099.780000000001</v>
      </c>
      <c r="H75" s="51"/>
      <c r="I75" s="9"/>
      <c r="J75" s="11" t="s">
        <v>170</v>
      </c>
      <c r="K75" s="49"/>
      <c r="L75" s="49"/>
      <c r="M75" s="49"/>
      <c r="N75" s="49"/>
      <c r="O75" s="49"/>
      <c r="P75" s="9"/>
      <c r="Q75" s="14"/>
      <c r="R75" s="79" t="s">
        <v>197</v>
      </c>
      <c r="S75" s="49">
        <f>S70+S72+S73+S74</f>
        <v>15450.569999999996</v>
      </c>
      <c r="T75" s="49">
        <f t="shared" ref="T75:W75" si="30">T70+T72+T73+T74</f>
        <v>18456.32</v>
      </c>
      <c r="U75" s="49">
        <f t="shared" si="30"/>
        <v>17234.93</v>
      </c>
      <c r="V75" s="49">
        <f t="shared" si="30"/>
        <v>18370.420000000002</v>
      </c>
      <c r="W75" s="49">
        <f t="shared" si="30"/>
        <v>15214.980000000007</v>
      </c>
    </row>
    <row r="76" spans="1:23" s="28" customFormat="1" ht="17" thickBot="1" x14ac:dyDescent="0.25">
      <c r="A76" t="s">
        <v>113</v>
      </c>
      <c r="B76" s="17" t="s">
        <v>114</v>
      </c>
      <c r="C76" s="49">
        <v>2090.35</v>
      </c>
      <c r="D76" s="49">
        <v>2092</v>
      </c>
      <c r="E76" s="49">
        <v>3646.22</v>
      </c>
      <c r="F76" s="49">
        <v>2357.0100000000002</v>
      </c>
      <c r="G76" s="49">
        <v>2207.5</v>
      </c>
      <c r="H76" s="31"/>
      <c r="I76" s="31" t="s">
        <v>86</v>
      </c>
      <c r="J76" s="40" t="s">
        <v>174</v>
      </c>
      <c r="K76" s="57"/>
      <c r="L76" s="57"/>
      <c r="M76" s="49"/>
      <c r="N76" s="49"/>
      <c r="O76" s="49"/>
      <c r="P76" s="31"/>
      <c r="Q76" s="39"/>
      <c r="R76" s="79" t="s">
        <v>198</v>
      </c>
      <c r="S76" s="49">
        <v>-3956.62</v>
      </c>
      <c r="T76" s="68">
        <v>-4650.1400000000003</v>
      </c>
      <c r="U76" s="68">
        <v>-5485.88</v>
      </c>
      <c r="V76" s="68">
        <v>-5719.57</v>
      </c>
      <c r="W76" s="68">
        <v>-5212.96</v>
      </c>
    </row>
    <row r="77" spans="1:23" s="28" customFormat="1" ht="32" x14ac:dyDescent="0.2">
      <c r="A77" s="28" t="s">
        <v>115</v>
      </c>
      <c r="B77" s="29" t="s">
        <v>116</v>
      </c>
      <c r="C77" s="54">
        <v>231.25</v>
      </c>
      <c r="D77" s="54">
        <v>561.84</v>
      </c>
      <c r="E77" s="52">
        <v>162.71</v>
      </c>
      <c r="F77" s="52">
        <v>96.03</v>
      </c>
      <c r="G77" s="49">
        <v>156.15</v>
      </c>
      <c r="H77" s="31"/>
      <c r="I77" s="31"/>
      <c r="J77" s="38" t="s">
        <v>171</v>
      </c>
      <c r="K77" s="52">
        <v>-30.1</v>
      </c>
      <c r="L77" s="52">
        <v>-125.09</v>
      </c>
      <c r="M77" s="52">
        <v>9.26</v>
      </c>
      <c r="N77" s="52">
        <v>80.83</v>
      </c>
      <c r="O77" s="52">
        <v>-27.96</v>
      </c>
      <c r="P77" s="31"/>
      <c r="Q77" s="33"/>
      <c r="R77" s="154" t="s">
        <v>199</v>
      </c>
      <c r="S77" s="155">
        <f>S75+S76</f>
        <v>11493.949999999997</v>
      </c>
      <c r="T77" s="155">
        <f t="shared" ref="T77:W77" si="31">T75+T76</f>
        <v>13806.18</v>
      </c>
      <c r="U77" s="155">
        <f t="shared" si="31"/>
        <v>11749.05</v>
      </c>
      <c r="V77" s="155">
        <f t="shared" si="31"/>
        <v>12650.850000000002</v>
      </c>
      <c r="W77" s="155">
        <f t="shared" si="31"/>
        <v>10002.020000000008</v>
      </c>
    </row>
    <row r="78" spans="1:23" s="28" customFormat="1" ht="16" x14ac:dyDescent="0.2">
      <c r="A78" s="28" t="s">
        <v>117</v>
      </c>
      <c r="B78" s="29" t="s">
        <v>118</v>
      </c>
      <c r="C78" s="54">
        <v>3770.25</v>
      </c>
      <c r="D78" s="54">
        <v>6281.43</v>
      </c>
      <c r="E78" s="52">
        <v>3606.02</v>
      </c>
      <c r="F78" s="52">
        <v>2498.85</v>
      </c>
      <c r="G78" s="52">
        <v>2591.12</v>
      </c>
      <c r="H78" s="31"/>
      <c r="I78" s="31"/>
      <c r="J78" s="9" t="s">
        <v>172</v>
      </c>
      <c r="K78" s="49">
        <v>252</v>
      </c>
      <c r="L78" s="49">
        <v>-1238.94</v>
      </c>
      <c r="M78" s="49">
        <v>370.11</v>
      </c>
      <c r="N78" s="49">
        <v>335.1</v>
      </c>
      <c r="O78" s="49">
        <v>129.94999999999999</v>
      </c>
      <c r="P78" s="31"/>
      <c r="Q78" s="33"/>
      <c r="R78" s="78" t="s">
        <v>200</v>
      </c>
      <c r="S78" s="31"/>
    </row>
    <row r="79" spans="1:23" s="28" customFormat="1" ht="48" x14ac:dyDescent="0.2">
      <c r="A79" s="28" t="s">
        <v>119</v>
      </c>
      <c r="B79" s="29" t="s">
        <v>105</v>
      </c>
      <c r="C79" s="54">
        <v>2.77</v>
      </c>
      <c r="D79" s="54">
        <v>4.87</v>
      </c>
      <c r="E79" s="52">
        <v>5.0199999999999996</v>
      </c>
      <c r="F79" s="52">
        <v>4.1500000000000004</v>
      </c>
      <c r="G79" s="52">
        <v>3.37</v>
      </c>
      <c r="H79" s="31"/>
      <c r="I79" s="31"/>
      <c r="J79" s="38" t="s">
        <v>173</v>
      </c>
      <c r="K79" s="52">
        <v>-6.64</v>
      </c>
      <c r="L79" s="52">
        <v>-1.29</v>
      </c>
      <c r="M79" s="52">
        <v>-21.05</v>
      </c>
      <c r="N79" s="52">
        <v>10.29</v>
      </c>
      <c r="O79" s="52">
        <v>-61.19</v>
      </c>
      <c r="P79" s="31"/>
      <c r="Q79" s="33"/>
      <c r="R79" s="31" t="s">
        <v>201</v>
      </c>
      <c r="S79" s="52">
        <v>-1582.09</v>
      </c>
      <c r="T79" s="53">
        <v>-2140.35</v>
      </c>
      <c r="U79" s="53">
        <v>-2768.64</v>
      </c>
      <c r="V79" s="53">
        <v>-2619.04</v>
      </c>
      <c r="W79" s="53">
        <v>-2944.49</v>
      </c>
    </row>
    <row r="80" spans="1:23" ht="16" x14ac:dyDescent="0.2">
      <c r="A80" s="28" t="s">
        <v>120</v>
      </c>
      <c r="B80" s="29" t="s">
        <v>107</v>
      </c>
      <c r="C80" s="54">
        <v>1197.1500000000001</v>
      </c>
      <c r="D80" s="54">
        <v>1505.94</v>
      </c>
      <c r="E80" s="52">
        <v>1360.29</v>
      </c>
      <c r="F80" s="52">
        <v>1147.95</v>
      </c>
      <c r="G80" s="52">
        <v>1004.91</v>
      </c>
      <c r="H80" s="30"/>
      <c r="I80" s="9"/>
      <c r="J80" s="9" t="s">
        <v>175</v>
      </c>
      <c r="K80" s="49">
        <v>0.49</v>
      </c>
      <c r="L80" s="49">
        <v>9.6199999999999992</v>
      </c>
      <c r="M80" s="49">
        <v>3.69</v>
      </c>
      <c r="N80" s="49">
        <v>-31.61</v>
      </c>
      <c r="O80" s="49">
        <v>24.22</v>
      </c>
      <c r="P80" s="9"/>
      <c r="Q80" s="14"/>
      <c r="R80" s="31" t="s">
        <v>202</v>
      </c>
      <c r="S80" s="52">
        <v>2.66</v>
      </c>
      <c r="T80" s="53">
        <v>26.75</v>
      </c>
      <c r="U80" s="53">
        <v>9.16</v>
      </c>
      <c r="V80" s="53">
        <v>71.23</v>
      </c>
      <c r="W80" s="53">
        <v>47.38</v>
      </c>
    </row>
    <row r="81" spans="1:23" s="28" customFormat="1" ht="16" x14ac:dyDescent="0.2">
      <c r="A81" t="s">
        <v>88</v>
      </c>
      <c r="B81" s="17" t="s">
        <v>121</v>
      </c>
      <c r="C81" s="62">
        <v>1006.07</v>
      </c>
      <c r="D81" s="62">
        <v>847.74</v>
      </c>
      <c r="E81" s="63">
        <v>694.91</v>
      </c>
      <c r="F81" s="63">
        <v>1258.4100000000001</v>
      </c>
      <c r="G81" s="54">
        <v>610.57000000000005</v>
      </c>
      <c r="I81" s="31" t="s">
        <v>87</v>
      </c>
      <c r="J81" s="24" t="s">
        <v>176</v>
      </c>
      <c r="K81" s="58"/>
      <c r="L81" s="49"/>
      <c r="M81" s="49"/>
      <c r="N81" s="49"/>
      <c r="O81" s="49"/>
      <c r="P81" s="31"/>
      <c r="Q81" s="33"/>
      <c r="R81" s="9" t="s">
        <v>203</v>
      </c>
      <c r="S81" s="49">
        <v>-51625.18</v>
      </c>
      <c r="T81" s="68">
        <v>-74803.59</v>
      </c>
      <c r="U81" s="68">
        <v>-86963.22</v>
      </c>
      <c r="V81" s="68">
        <v>-89843.68</v>
      </c>
      <c r="W81" s="68">
        <v>-76998.7</v>
      </c>
    </row>
    <row r="82" spans="1:23" s="28" customFormat="1" ht="49" thickBot="1" x14ac:dyDescent="0.25">
      <c r="B82" s="41" t="s">
        <v>146</v>
      </c>
      <c r="C82" s="65">
        <f>SUM(C73:C81)</f>
        <v>31815.420000000002</v>
      </c>
      <c r="D82" s="65">
        <f t="shared" ref="D82:F82" si="32">SUM(D73:D81)</f>
        <v>36506.910000000003</v>
      </c>
      <c r="E82" s="65">
        <f t="shared" si="32"/>
        <v>29568.960000000003</v>
      </c>
      <c r="F82" s="65">
        <f t="shared" si="32"/>
        <v>24503</v>
      </c>
      <c r="G82" s="65">
        <v>24537.39</v>
      </c>
      <c r="H82" s="30"/>
      <c r="I82" s="31"/>
      <c r="J82" s="38" t="s">
        <v>173</v>
      </c>
      <c r="K82" s="52">
        <v>40.76</v>
      </c>
      <c r="L82" s="52">
        <v>-36.24</v>
      </c>
      <c r="M82" s="52">
        <v>0.85</v>
      </c>
      <c r="N82" s="52">
        <v>-18.690000000000001</v>
      </c>
      <c r="O82" s="52">
        <v>18.29</v>
      </c>
      <c r="P82" s="31"/>
      <c r="Q82" s="33"/>
      <c r="R82" s="31" t="s">
        <v>204</v>
      </c>
      <c r="S82" s="52">
        <v>56785.919999999998</v>
      </c>
      <c r="T82" s="53">
        <v>69214</v>
      </c>
      <c r="U82" s="53">
        <v>88535.08</v>
      </c>
      <c r="V82" s="53">
        <v>91080.09</v>
      </c>
      <c r="W82" s="53">
        <v>74903.710000000006</v>
      </c>
    </row>
    <row r="83" spans="1:23" ht="17" thickBot="1" x14ac:dyDescent="0.25">
      <c r="A83" s="28"/>
      <c r="B83" s="47" t="s">
        <v>122</v>
      </c>
      <c r="C83" s="66">
        <f>C82+C71</f>
        <v>71580.540000000008</v>
      </c>
      <c r="D83" s="66">
        <f t="shared" ref="D83:G83" si="33">D82+D71</f>
        <v>75235.359999999986</v>
      </c>
      <c r="E83" s="66">
        <f t="shared" si="33"/>
        <v>69797.920000000013</v>
      </c>
      <c r="F83" s="66">
        <f t="shared" si="33"/>
        <v>62381.31</v>
      </c>
      <c r="G83" s="66">
        <f t="shared" si="33"/>
        <v>54215.95</v>
      </c>
      <c r="H83" s="9"/>
      <c r="I83" s="9">
        <v>10</v>
      </c>
      <c r="J83" s="9" t="s">
        <v>177</v>
      </c>
      <c r="K83" s="49">
        <v>-10.26</v>
      </c>
      <c r="L83" s="51">
        <v>10.130000000000001</v>
      </c>
      <c r="M83" s="49">
        <v>-0.3</v>
      </c>
      <c r="N83" s="49">
        <v>6.42</v>
      </c>
      <c r="O83" s="49">
        <v>-6.31</v>
      </c>
      <c r="P83" s="9"/>
      <c r="Q83" s="14"/>
      <c r="R83" s="31" t="s">
        <v>205</v>
      </c>
      <c r="S83" s="52">
        <v>-2176.2600000000002</v>
      </c>
      <c r="T83" s="53">
        <v>0</v>
      </c>
      <c r="U83" s="53">
        <v>0</v>
      </c>
      <c r="V83" s="53">
        <v>0</v>
      </c>
      <c r="W83" s="53">
        <v>126.57</v>
      </c>
    </row>
    <row r="84" spans="1:23" ht="17" thickBot="1" x14ac:dyDescent="0.25">
      <c r="B84" s="16"/>
      <c r="C84" s="49"/>
      <c r="D84" s="49"/>
      <c r="E84" s="49"/>
      <c r="F84" s="49"/>
      <c r="G84" s="49"/>
      <c r="H84" s="9"/>
      <c r="I84" s="9"/>
      <c r="J84" s="48" t="s">
        <v>170</v>
      </c>
      <c r="K84" s="59">
        <f>SUM(K77:K83)</f>
        <v>246.25000000000006</v>
      </c>
      <c r="L84" s="59">
        <f t="shared" ref="L84:O84" si="34">SUM(L77:L83)</f>
        <v>-1381.81</v>
      </c>
      <c r="M84" s="59">
        <f t="shared" si="34"/>
        <v>362.56</v>
      </c>
      <c r="N84" s="59">
        <f t="shared" si="34"/>
        <v>382.34000000000003</v>
      </c>
      <c r="O84" s="59">
        <f t="shared" si="34"/>
        <v>76.999999999999972</v>
      </c>
      <c r="P84" s="9"/>
      <c r="Q84" s="14"/>
      <c r="R84" s="30" t="s">
        <v>206</v>
      </c>
      <c r="S84" s="49">
        <v>-374.53</v>
      </c>
      <c r="T84" s="68">
        <v>-202.39</v>
      </c>
      <c r="U84" s="68">
        <v>-426.48</v>
      </c>
      <c r="V84" s="68">
        <v>-224.19</v>
      </c>
      <c r="W84" s="68">
        <v>-139.80000000000001</v>
      </c>
    </row>
    <row r="85" spans="1:23" ht="16" x14ac:dyDescent="0.2">
      <c r="B85" s="20" t="s">
        <v>123</v>
      </c>
      <c r="C85" s="49"/>
      <c r="D85" s="49"/>
      <c r="E85" s="49"/>
      <c r="F85" s="49"/>
      <c r="G85" s="49"/>
      <c r="H85" s="9"/>
      <c r="I85" s="24"/>
      <c r="J85" s="45" t="s">
        <v>181</v>
      </c>
      <c r="K85" s="60">
        <f>K74+K84</f>
        <v>13277.889999999994</v>
      </c>
      <c r="L85" s="60">
        <f t="shared" ref="L85:O85" si="35">L74+L84</f>
        <v>13754.239999999998</v>
      </c>
      <c r="M85" s="60">
        <f t="shared" si="35"/>
        <v>12826.88</v>
      </c>
      <c r="N85" s="60">
        <f t="shared" si="35"/>
        <v>11605.59</v>
      </c>
      <c r="O85" s="60">
        <f t="shared" si="35"/>
        <v>10277.900000000007</v>
      </c>
      <c r="P85" s="9"/>
      <c r="Q85" s="15"/>
      <c r="R85" s="30" t="s">
        <v>207</v>
      </c>
      <c r="S85" s="49">
        <v>-1.87</v>
      </c>
      <c r="T85" s="68">
        <v>0</v>
      </c>
      <c r="U85" s="68">
        <v>-3404.69</v>
      </c>
      <c r="V85" s="68">
        <v>0</v>
      </c>
      <c r="W85" s="68">
        <v>0</v>
      </c>
    </row>
    <row r="86" spans="1:23" ht="16" x14ac:dyDescent="0.2">
      <c r="B86" s="20" t="s">
        <v>124</v>
      </c>
      <c r="C86" s="49"/>
      <c r="D86" s="49"/>
      <c r="E86" s="49"/>
      <c r="F86" s="49"/>
      <c r="G86" s="49"/>
      <c r="H86" s="9"/>
      <c r="I86" s="24"/>
      <c r="J86" s="9" t="s">
        <v>178</v>
      </c>
      <c r="K86" s="49">
        <v>10.59</v>
      </c>
      <c r="L86" s="49">
        <v>12.33</v>
      </c>
      <c r="M86" s="49">
        <v>10.19</v>
      </c>
      <c r="N86" s="49">
        <v>9.2200000000000006</v>
      </c>
      <c r="O86" s="49">
        <v>8.43</v>
      </c>
      <c r="P86" s="9"/>
      <c r="Q86" s="14"/>
      <c r="R86" s="30" t="s">
        <v>208</v>
      </c>
      <c r="S86" s="49">
        <v>-1488.71</v>
      </c>
      <c r="T86" s="68">
        <v>-1987.78</v>
      </c>
      <c r="U86" s="68">
        <v>17.75</v>
      </c>
      <c r="V86" s="68">
        <v>0</v>
      </c>
      <c r="W86" s="68">
        <v>0</v>
      </c>
    </row>
    <row r="87" spans="1:23" ht="16" x14ac:dyDescent="0.2">
      <c r="A87" t="s">
        <v>86</v>
      </c>
      <c r="B87" s="17" t="s">
        <v>125</v>
      </c>
      <c r="C87" s="49">
        <v>1230.8800000000001</v>
      </c>
      <c r="D87" s="49">
        <v>1229.22</v>
      </c>
      <c r="E87" s="49">
        <v>1225.8599999999999</v>
      </c>
      <c r="F87" s="49">
        <v>1220.43</v>
      </c>
      <c r="G87" s="49">
        <v>1214.74</v>
      </c>
      <c r="H87" s="9"/>
      <c r="I87" s="9"/>
      <c r="J87" s="19" t="s">
        <v>179</v>
      </c>
      <c r="K87" s="49">
        <v>10.59</v>
      </c>
      <c r="L87" s="49">
        <v>12.31</v>
      </c>
      <c r="M87" s="49">
        <v>10.130000000000001</v>
      </c>
      <c r="N87" s="49">
        <v>9.16</v>
      </c>
      <c r="O87" s="49">
        <v>8.3800000000000008</v>
      </c>
      <c r="P87" s="9"/>
      <c r="Q87" s="13"/>
      <c r="R87" s="30" t="s">
        <v>209</v>
      </c>
      <c r="S87" s="49">
        <v>1712.05</v>
      </c>
      <c r="T87" s="68">
        <v>3429.63</v>
      </c>
      <c r="U87" s="68">
        <v>300.29000000000002</v>
      </c>
      <c r="V87" s="68">
        <v>0</v>
      </c>
      <c r="W87" s="68">
        <v>0</v>
      </c>
    </row>
    <row r="88" spans="1:23" ht="16" x14ac:dyDescent="0.2">
      <c r="A88" t="s">
        <v>87</v>
      </c>
      <c r="B88" s="17" t="s">
        <v>126</v>
      </c>
      <c r="C88" s="63">
        <v>57773.7</v>
      </c>
      <c r="D88" s="63">
        <v>62799.94</v>
      </c>
      <c r="E88" s="63">
        <v>56723.93</v>
      </c>
      <c r="F88" s="63">
        <v>50179.64</v>
      </c>
      <c r="G88" s="63">
        <v>44126.22</v>
      </c>
      <c r="H88" s="9">
        <f>4026657100/10000000</f>
        <v>402.66570999999999</v>
      </c>
      <c r="I88" s="9"/>
      <c r="J88" s="9"/>
      <c r="K88" s="9"/>
      <c r="L88" s="9"/>
      <c r="M88" s="9"/>
      <c r="N88" s="9"/>
      <c r="O88" s="9"/>
      <c r="P88" s="9"/>
      <c r="Q88" s="13"/>
      <c r="R88" s="30" t="s">
        <v>187</v>
      </c>
      <c r="S88" s="49">
        <v>723.94</v>
      </c>
      <c r="T88" s="68">
        <v>551.11</v>
      </c>
      <c r="U88" s="68">
        <v>415.9</v>
      </c>
      <c r="V88" s="68">
        <v>409.79</v>
      </c>
      <c r="W88" s="68">
        <v>248.85</v>
      </c>
    </row>
    <row r="89" spans="1:23" s="28" customFormat="1" ht="16" x14ac:dyDescent="0.2">
      <c r="A89"/>
      <c r="B89" s="11" t="s">
        <v>145</v>
      </c>
      <c r="C89" s="67">
        <f>C87+C88</f>
        <v>59004.579999999994</v>
      </c>
      <c r="D89" s="67">
        <f t="shared" ref="D89:G89" si="36">D87+D88</f>
        <v>64029.16</v>
      </c>
      <c r="E89" s="67">
        <f t="shared" si="36"/>
        <v>57949.79</v>
      </c>
      <c r="F89" s="67">
        <f t="shared" si="36"/>
        <v>51400.07</v>
      </c>
      <c r="G89" s="67">
        <f t="shared" si="36"/>
        <v>45340.959999999999</v>
      </c>
      <c r="H89" s="31"/>
      <c r="I89" s="31"/>
      <c r="J89" s="31"/>
      <c r="K89" s="31"/>
      <c r="L89" s="31"/>
      <c r="M89" s="31"/>
      <c r="N89" s="31"/>
      <c r="O89" s="31"/>
      <c r="P89" s="31"/>
      <c r="Q89" s="33"/>
      <c r="R89" s="30" t="s">
        <v>210</v>
      </c>
      <c r="S89" s="49">
        <v>1199.3599999999999</v>
      </c>
      <c r="T89" s="68">
        <v>1437.26</v>
      </c>
      <c r="U89" s="68">
        <v>1112.9100000000001</v>
      </c>
      <c r="V89" s="68">
        <v>691.4</v>
      </c>
      <c r="W89" s="68">
        <v>720.43</v>
      </c>
    </row>
    <row r="90" spans="1:23" s="28" customFormat="1" ht="32" x14ac:dyDescent="0.2">
      <c r="B90" s="41" t="s">
        <v>127</v>
      </c>
      <c r="C90" s="52"/>
      <c r="D90" s="52"/>
      <c r="E90" s="52"/>
      <c r="F90" s="52"/>
      <c r="G90" s="52"/>
      <c r="H90" s="31"/>
      <c r="I90" s="31"/>
      <c r="J90" s="31"/>
      <c r="K90" s="31"/>
      <c r="L90" s="31"/>
      <c r="M90" s="31"/>
      <c r="N90" s="31"/>
      <c r="O90" s="31"/>
      <c r="P90" s="31"/>
      <c r="Q90" s="33"/>
      <c r="R90" s="82" t="s">
        <v>211</v>
      </c>
      <c r="S90" s="52">
        <v>-3706.02</v>
      </c>
      <c r="T90" s="53">
        <v>-4666.57</v>
      </c>
      <c r="U90" s="53">
        <v>-4527.3</v>
      </c>
      <c r="V90" s="53">
        <v>-3920.32</v>
      </c>
      <c r="W90" s="53">
        <v>-1714.79</v>
      </c>
    </row>
    <row r="91" spans="1:23" s="28" customFormat="1" ht="32" x14ac:dyDescent="0.2">
      <c r="B91" s="41" t="s">
        <v>138</v>
      </c>
      <c r="C91" s="52"/>
      <c r="D91" s="52"/>
      <c r="E91" s="52"/>
      <c r="F91" s="52"/>
      <c r="G91" s="52"/>
      <c r="H91" s="31"/>
      <c r="I91" s="31"/>
      <c r="J91" s="31"/>
      <c r="K91" s="31"/>
      <c r="L91" s="31"/>
      <c r="M91" s="31"/>
      <c r="N91" s="31"/>
      <c r="O91" s="31"/>
      <c r="P91" s="31"/>
      <c r="Q91" s="33"/>
      <c r="R91" s="82" t="s">
        <v>212</v>
      </c>
      <c r="S91" s="52">
        <v>6259.37</v>
      </c>
      <c r="T91" s="53">
        <v>3508.18</v>
      </c>
      <c r="U91" s="53">
        <v>2928.78</v>
      </c>
      <c r="V91" s="53">
        <v>2997.48</v>
      </c>
      <c r="W91" s="53">
        <v>5615.52</v>
      </c>
    </row>
    <row r="92" spans="1:23" s="28" customFormat="1" ht="32" x14ac:dyDescent="0.2">
      <c r="A92" s="28" t="s">
        <v>86</v>
      </c>
      <c r="B92" s="83" t="s">
        <v>128</v>
      </c>
      <c r="C92" s="52"/>
      <c r="D92" s="52"/>
      <c r="E92" s="52"/>
      <c r="F92" s="52"/>
      <c r="G92" s="52"/>
      <c r="H92" s="31"/>
      <c r="I92" s="31"/>
      <c r="J92" s="31"/>
      <c r="K92" s="103"/>
      <c r="L92" s="103"/>
      <c r="M92" s="103"/>
      <c r="N92" s="103"/>
      <c r="O92" s="31"/>
      <c r="P92" s="31"/>
      <c r="Q92" s="33"/>
      <c r="R92" s="82" t="s">
        <v>213</v>
      </c>
      <c r="S92" s="52">
        <v>-78.38</v>
      </c>
      <c r="T92" s="53">
        <v>-585.16</v>
      </c>
      <c r="U92" s="53">
        <v>-848.03</v>
      </c>
      <c r="V92" s="53">
        <v>-1135.8800000000001</v>
      </c>
      <c r="W92" s="53">
        <v>-500</v>
      </c>
    </row>
    <row r="93" spans="1:23" s="28" customFormat="1" ht="32" x14ac:dyDescent="0.2">
      <c r="A93" s="28" t="s">
        <v>129</v>
      </c>
      <c r="B93" s="83" t="s">
        <v>130</v>
      </c>
      <c r="C93" s="52">
        <v>5.28</v>
      </c>
      <c r="D93" s="52">
        <v>5.63</v>
      </c>
      <c r="E93" s="52">
        <v>7.89</v>
      </c>
      <c r="F93" s="52">
        <v>11.13</v>
      </c>
      <c r="G93" s="52">
        <v>17.989999999999998</v>
      </c>
      <c r="H93" s="31"/>
      <c r="I93" s="31"/>
      <c r="J93" s="31"/>
      <c r="K93" s="31"/>
      <c r="L93" s="31"/>
      <c r="M93" s="31"/>
      <c r="N93" s="31"/>
      <c r="O93" s="31"/>
      <c r="P93" s="31"/>
      <c r="Q93" s="33"/>
      <c r="R93" s="82" t="s">
        <v>214</v>
      </c>
      <c r="S93" s="52">
        <v>844.43</v>
      </c>
      <c r="T93" s="53">
        <v>699.15</v>
      </c>
      <c r="U93" s="53">
        <v>536.41999999999996</v>
      </c>
      <c r="V93" s="53">
        <v>500</v>
      </c>
      <c r="W93" s="53">
        <v>0</v>
      </c>
    </row>
    <row r="94" spans="1:23" s="28" customFormat="1" ht="16" x14ac:dyDescent="0.2">
      <c r="A94" s="28" t="s">
        <v>131</v>
      </c>
      <c r="B94" s="83" t="s">
        <v>132</v>
      </c>
      <c r="C94" s="52">
        <v>272.36</v>
      </c>
      <c r="D94" s="52">
        <v>259.25</v>
      </c>
      <c r="E94" s="52">
        <v>41.9</v>
      </c>
      <c r="F94" s="52">
        <v>35.36</v>
      </c>
      <c r="G94" s="52">
        <v>9.2100000000000009</v>
      </c>
      <c r="H94" s="31"/>
      <c r="I94" s="31"/>
      <c r="J94" s="31"/>
      <c r="K94" s="31"/>
      <c r="L94" s="31"/>
      <c r="M94" s="31"/>
      <c r="N94" s="31"/>
      <c r="O94" s="31"/>
      <c r="P94" s="31"/>
      <c r="Q94" s="84"/>
      <c r="R94" s="82" t="s">
        <v>215</v>
      </c>
      <c r="S94" s="52">
        <v>-2.12</v>
      </c>
      <c r="T94" s="53">
        <v>-3.22</v>
      </c>
      <c r="U94" s="53">
        <v>-5.35</v>
      </c>
      <c r="V94" s="53">
        <v>-7.52</v>
      </c>
      <c r="W94" s="53">
        <v>0</v>
      </c>
    </row>
    <row r="95" spans="1:23" s="28" customFormat="1" ht="17" thickBot="1" x14ac:dyDescent="0.25">
      <c r="A95" s="28" t="s">
        <v>133</v>
      </c>
      <c r="B95" s="83" t="s">
        <v>134</v>
      </c>
      <c r="C95" s="52">
        <v>239.35</v>
      </c>
      <c r="D95" s="52">
        <v>90.47</v>
      </c>
      <c r="E95" s="52">
        <v>132.63999999999999</v>
      </c>
      <c r="F95" s="52">
        <v>121.91</v>
      </c>
      <c r="G95" s="52">
        <v>131.37</v>
      </c>
      <c r="H95" s="31"/>
      <c r="I95" s="31"/>
      <c r="J95" s="31"/>
      <c r="K95" s="31"/>
      <c r="L95" s="31"/>
      <c r="M95" s="31"/>
      <c r="N95" s="31"/>
      <c r="O95" s="31"/>
      <c r="P95" s="31"/>
      <c r="Q95" s="33"/>
      <c r="R95" s="82" t="s">
        <v>216</v>
      </c>
      <c r="S95" s="52">
        <v>5.32</v>
      </c>
      <c r="T95" s="53">
        <v>6.27</v>
      </c>
      <c r="U95" s="53">
        <v>5.67</v>
      </c>
      <c r="V95" s="53">
        <v>5.18</v>
      </c>
      <c r="W95" s="53">
        <v>2.76</v>
      </c>
    </row>
    <row r="96" spans="1:23" ht="32" x14ac:dyDescent="0.2">
      <c r="A96" s="28" t="s">
        <v>87</v>
      </c>
      <c r="B96" s="83" t="s">
        <v>135</v>
      </c>
      <c r="C96" s="54">
        <v>157.07</v>
      </c>
      <c r="D96" s="54">
        <v>143.79</v>
      </c>
      <c r="E96" s="52">
        <v>2044.14</v>
      </c>
      <c r="F96" s="52">
        <v>1917.94</v>
      </c>
      <c r="G96" s="52">
        <v>1871.7</v>
      </c>
      <c r="H96" s="9"/>
      <c r="I96" s="9"/>
      <c r="J96" s="9"/>
      <c r="K96" s="9"/>
      <c r="L96" s="9"/>
      <c r="M96" s="9"/>
      <c r="N96" s="9"/>
      <c r="O96" s="9"/>
      <c r="P96" s="9"/>
      <c r="Q96" s="13"/>
      <c r="R96" s="156" t="s">
        <v>217</v>
      </c>
      <c r="S96" s="155">
        <f>SUM(S79:S95)</f>
        <v>6497.8899999999976</v>
      </c>
      <c r="T96" s="155">
        <f t="shared" ref="T96:W96" si="37">SUM(T79:T95)</f>
        <v>-5516.7100000000019</v>
      </c>
      <c r="U96" s="155">
        <f t="shared" si="37"/>
        <v>-5081.7499999999955</v>
      </c>
      <c r="V96" s="155">
        <f t="shared" si="37"/>
        <v>-1995.4599999999948</v>
      </c>
      <c r="W96" s="155">
        <f t="shared" si="37"/>
        <v>-632.55999999999062</v>
      </c>
    </row>
    <row r="97" spans="1:23" ht="16" x14ac:dyDescent="0.2">
      <c r="A97" t="s">
        <v>88</v>
      </c>
      <c r="B97" s="21" t="s">
        <v>136</v>
      </c>
      <c r="C97" s="62">
        <v>1727.73</v>
      </c>
      <c r="D97" s="62">
        <v>1617.65</v>
      </c>
      <c r="E97" s="63">
        <v>0</v>
      </c>
      <c r="F97" s="63">
        <v>38.299999999999997</v>
      </c>
      <c r="G97" s="63">
        <v>14.65</v>
      </c>
      <c r="H97" s="19"/>
      <c r="I97" s="9"/>
      <c r="J97" s="9"/>
      <c r="K97" s="9"/>
      <c r="L97" s="9"/>
      <c r="M97" s="9"/>
      <c r="N97" s="9"/>
      <c r="O97" s="9"/>
      <c r="P97" s="9"/>
      <c r="Q97" s="13"/>
      <c r="R97" s="34" t="s">
        <v>218</v>
      </c>
      <c r="S97" s="9"/>
    </row>
    <row r="98" spans="1:23" ht="16" x14ac:dyDescent="0.2">
      <c r="B98" s="35" t="s">
        <v>148</v>
      </c>
      <c r="C98" s="64">
        <f>SUM(C93:C97)</f>
        <v>2401.79</v>
      </c>
      <c r="D98" s="64">
        <f t="shared" ref="D98:G98" si="38">SUM(D93:D97)</f>
        <v>2116.79</v>
      </c>
      <c r="E98" s="64">
        <f t="shared" si="38"/>
        <v>2226.5700000000002</v>
      </c>
      <c r="F98" s="64">
        <f t="shared" si="38"/>
        <v>2124.6400000000003</v>
      </c>
      <c r="G98" s="64">
        <f t="shared" si="38"/>
        <v>2044.92</v>
      </c>
      <c r="H98" s="9"/>
      <c r="I98" s="9"/>
      <c r="J98" s="9"/>
      <c r="K98" s="9"/>
      <c r="L98" s="9"/>
      <c r="M98" s="9"/>
      <c r="N98" s="9"/>
      <c r="O98" s="9"/>
      <c r="P98" s="9"/>
      <c r="Q98" s="13"/>
      <c r="R98" s="82" t="s">
        <v>219</v>
      </c>
      <c r="S98" s="54">
        <v>290.64999999999998</v>
      </c>
      <c r="T98" s="54">
        <v>625.29999999999995</v>
      </c>
      <c r="U98" s="54">
        <v>969.13</v>
      </c>
      <c r="V98" s="54">
        <v>912.79</v>
      </c>
      <c r="W98" s="54">
        <v>1066.96</v>
      </c>
    </row>
    <row r="99" spans="1:23" ht="16" x14ac:dyDescent="0.2">
      <c r="B99" s="35" t="s">
        <v>137</v>
      </c>
      <c r="C99" s="49"/>
      <c r="D99" s="49"/>
      <c r="E99" s="49"/>
      <c r="F99" s="49"/>
      <c r="G99" s="49"/>
      <c r="H99" s="9"/>
      <c r="I99" s="9"/>
      <c r="J99" s="9"/>
      <c r="K99" s="9"/>
      <c r="L99" s="9"/>
      <c r="M99" s="9"/>
      <c r="N99" s="9"/>
      <c r="O99" s="9"/>
      <c r="P99" s="9"/>
      <c r="Q99" s="13"/>
      <c r="R99" s="82" t="s">
        <v>220</v>
      </c>
      <c r="S99" s="54">
        <v>-2.2599999999999998</v>
      </c>
      <c r="T99" s="54">
        <v>-3.23</v>
      </c>
      <c r="U99" s="54">
        <v>-6.87</v>
      </c>
      <c r="V99" s="54">
        <v>-7.84</v>
      </c>
      <c r="W99" s="54">
        <v>-12.86</v>
      </c>
    </row>
    <row r="100" spans="1:23" ht="16" x14ac:dyDescent="0.2">
      <c r="A100" t="s">
        <v>86</v>
      </c>
      <c r="B100" s="21" t="s">
        <v>128</v>
      </c>
      <c r="C100" s="49"/>
      <c r="D100" s="49"/>
      <c r="E100" s="49"/>
      <c r="F100" s="49"/>
      <c r="G100" s="49"/>
      <c r="H100" s="9"/>
      <c r="I100" s="9"/>
      <c r="J100" s="9"/>
      <c r="K100" s="9"/>
      <c r="L100" s="9"/>
      <c r="M100" s="9"/>
      <c r="N100" s="9"/>
      <c r="O100" s="9"/>
      <c r="P100" s="9"/>
      <c r="Q100" s="14"/>
      <c r="R100" s="82" t="s">
        <v>221</v>
      </c>
      <c r="S100" s="54">
        <v>-49.67</v>
      </c>
      <c r="T100" s="54">
        <v>-44.03</v>
      </c>
      <c r="U100" s="68">
        <v>0</v>
      </c>
      <c r="V100" s="68">
        <v>0</v>
      </c>
      <c r="W100" s="68">
        <v>0</v>
      </c>
    </row>
    <row r="101" spans="1:23" ht="16" x14ac:dyDescent="0.2">
      <c r="A101" t="s">
        <v>129</v>
      </c>
      <c r="B101" s="21" t="s">
        <v>139</v>
      </c>
      <c r="C101" s="49">
        <v>0</v>
      </c>
      <c r="D101" s="49">
        <v>0</v>
      </c>
      <c r="E101" s="49">
        <v>0</v>
      </c>
      <c r="F101" s="49">
        <v>0</v>
      </c>
      <c r="G101" s="49">
        <v>2551.23</v>
      </c>
      <c r="H101" s="9"/>
      <c r="I101" s="9"/>
      <c r="J101" s="9"/>
      <c r="K101" s="9"/>
      <c r="L101" s="9"/>
      <c r="M101" s="9"/>
      <c r="N101" s="9"/>
      <c r="O101" s="9"/>
      <c r="P101" s="9"/>
      <c r="Q101" s="13"/>
      <c r="R101" s="82" t="s">
        <v>222</v>
      </c>
      <c r="S101" s="54">
        <v>-43.47</v>
      </c>
      <c r="T101" s="54">
        <v>-45.54</v>
      </c>
      <c r="U101" s="68">
        <v>-86.68</v>
      </c>
      <c r="V101" s="68">
        <v>-45.32</v>
      </c>
      <c r="W101" s="68">
        <v>-21.77</v>
      </c>
    </row>
    <row r="102" spans="1:23" ht="32" x14ac:dyDescent="0.2">
      <c r="B102" s="21" t="s">
        <v>140</v>
      </c>
      <c r="C102" s="49">
        <v>59.34</v>
      </c>
      <c r="D102" s="49">
        <v>34.67</v>
      </c>
      <c r="E102" s="49">
        <v>54.32</v>
      </c>
      <c r="F102" s="49">
        <v>29.43</v>
      </c>
      <c r="G102" s="49">
        <v>0</v>
      </c>
      <c r="H102" s="51"/>
      <c r="I102" s="9"/>
      <c r="J102" s="9"/>
      <c r="K102" s="9"/>
      <c r="L102" s="9"/>
      <c r="M102" s="9"/>
      <c r="N102" s="9"/>
      <c r="O102" s="9"/>
      <c r="P102" s="9"/>
      <c r="Q102" s="9"/>
      <c r="R102" s="82" t="s">
        <v>223</v>
      </c>
      <c r="S102" s="54">
        <v>41.17</v>
      </c>
      <c r="T102" s="54">
        <v>-1.1399999999999999</v>
      </c>
      <c r="U102" s="68">
        <v>10.75</v>
      </c>
      <c r="V102" s="68">
        <v>0.77</v>
      </c>
      <c r="W102" s="68">
        <v>3.69</v>
      </c>
    </row>
    <row r="103" spans="1:23" ht="34" x14ac:dyDescent="0.2">
      <c r="B103" s="22" t="s">
        <v>141</v>
      </c>
      <c r="C103" s="49">
        <v>4060.19</v>
      </c>
      <c r="D103" s="49">
        <v>3412.07</v>
      </c>
      <c r="E103" s="49">
        <v>3313.96</v>
      </c>
      <c r="F103" s="49">
        <v>3352.85</v>
      </c>
      <c r="G103" s="49">
        <v>0</v>
      </c>
      <c r="H103" s="51"/>
      <c r="I103" s="9"/>
      <c r="J103" s="9"/>
      <c r="K103" s="9"/>
      <c r="L103" s="9"/>
      <c r="M103" s="9"/>
      <c r="N103" s="9"/>
      <c r="O103" s="9"/>
      <c r="P103" s="9"/>
      <c r="Q103" s="9"/>
      <c r="R103" s="82" t="s">
        <v>224</v>
      </c>
      <c r="S103" s="54">
        <v>-18629.29</v>
      </c>
      <c r="T103" s="54">
        <v>-7048.71</v>
      </c>
      <c r="U103" s="68">
        <v>-6285.21</v>
      </c>
      <c r="V103" s="68">
        <v>-5770.01</v>
      </c>
      <c r="W103" s="68">
        <v>-6840.12</v>
      </c>
    </row>
    <row r="104" spans="1:23" ht="33" thickBot="1" x14ac:dyDescent="0.25">
      <c r="A104" t="s">
        <v>131</v>
      </c>
      <c r="B104" s="21" t="s">
        <v>132</v>
      </c>
      <c r="C104" s="49">
        <v>51.36</v>
      </c>
      <c r="D104" s="49">
        <v>64.87</v>
      </c>
      <c r="E104" s="49">
        <v>0</v>
      </c>
      <c r="F104" s="49">
        <v>0</v>
      </c>
      <c r="G104" s="49">
        <v>0</v>
      </c>
      <c r="H104" s="9"/>
      <c r="I104" s="9"/>
      <c r="J104" s="9"/>
      <c r="K104" s="9"/>
      <c r="L104" s="9"/>
      <c r="M104" s="9"/>
      <c r="N104" s="9"/>
      <c r="O104" s="9"/>
      <c r="P104" s="9"/>
      <c r="Q104" s="9"/>
      <c r="R104" s="82" t="s">
        <v>225</v>
      </c>
      <c r="S104" s="54">
        <v>13.98</v>
      </c>
      <c r="T104" s="54">
        <v>-1373.52</v>
      </c>
      <c r="U104" s="68">
        <v>-1201.69</v>
      </c>
      <c r="V104" s="68">
        <v>-1110.24</v>
      </c>
      <c r="W104" s="68">
        <v>-1333.52</v>
      </c>
    </row>
    <row r="105" spans="1:23" ht="17" thickBot="1" x14ac:dyDescent="0.25">
      <c r="A105" t="s">
        <v>133</v>
      </c>
      <c r="B105" s="21" t="s">
        <v>134</v>
      </c>
      <c r="C105" s="51">
        <v>1248.17</v>
      </c>
      <c r="D105" s="51">
        <v>1147.24</v>
      </c>
      <c r="E105" s="49">
        <v>972.94</v>
      </c>
      <c r="F105" s="49">
        <v>778.3</v>
      </c>
      <c r="G105" s="49">
        <v>784.78</v>
      </c>
      <c r="H105" s="9"/>
      <c r="I105" s="9"/>
      <c r="J105" s="9"/>
      <c r="K105" s="9"/>
      <c r="L105" s="9"/>
      <c r="M105" s="9"/>
      <c r="N105" s="9"/>
      <c r="O105" s="9"/>
      <c r="P105" s="9"/>
      <c r="Q105" s="9"/>
      <c r="R105" s="157" t="s">
        <v>226</v>
      </c>
      <c r="S105" s="158">
        <f>SUM(S98:S104)</f>
        <v>-18378.890000000003</v>
      </c>
      <c r="T105" s="158">
        <f t="shared" ref="T105:W105" si="39">SUM(T98:T104)</f>
        <v>-7890.8700000000008</v>
      </c>
      <c r="U105" s="158">
        <f t="shared" si="39"/>
        <v>-6600.57</v>
      </c>
      <c r="V105" s="158">
        <f t="shared" si="39"/>
        <v>-6019.85</v>
      </c>
      <c r="W105" s="158">
        <f t="shared" si="39"/>
        <v>-7137.619999999999</v>
      </c>
    </row>
    <row r="106" spans="1:23" ht="16" x14ac:dyDescent="0.2">
      <c r="A106" t="s">
        <v>87</v>
      </c>
      <c r="B106" s="21" t="s">
        <v>142</v>
      </c>
      <c r="C106" s="51">
        <v>4369</v>
      </c>
      <c r="D106" s="51">
        <v>4175.91</v>
      </c>
      <c r="E106" s="49">
        <v>4910.3999999999996</v>
      </c>
      <c r="F106" s="49">
        <v>4656.78</v>
      </c>
      <c r="G106" s="49">
        <v>3351.15</v>
      </c>
      <c r="R106" s="45" t="s">
        <v>227</v>
      </c>
      <c r="S106" s="60">
        <f>S105+S96+S77</f>
        <v>-387.05000000000837</v>
      </c>
      <c r="T106" s="60">
        <f t="shared" ref="T106:U106" si="40">T105+T96+T77</f>
        <v>398.59999999999854</v>
      </c>
      <c r="U106" s="60">
        <f t="shared" si="40"/>
        <v>66.730000000003201</v>
      </c>
      <c r="V106" s="60">
        <v>-60.24</v>
      </c>
      <c r="W106" s="60">
        <v>84.07</v>
      </c>
    </row>
    <row r="107" spans="1:23" ht="16" x14ac:dyDescent="0.2">
      <c r="A107" t="s">
        <v>88</v>
      </c>
      <c r="B107" s="21" t="s">
        <v>135</v>
      </c>
      <c r="C107" s="51">
        <v>169.05</v>
      </c>
      <c r="D107" s="51">
        <v>117.94</v>
      </c>
      <c r="E107" s="68">
        <v>25.24</v>
      </c>
      <c r="F107" s="68">
        <v>39.24</v>
      </c>
      <c r="G107" s="68">
        <v>41.83</v>
      </c>
      <c r="H107" s="49"/>
      <c r="R107" s="85" t="s">
        <v>228</v>
      </c>
      <c r="S107" s="54">
        <v>561.35</v>
      </c>
      <c r="T107">
        <v>162.75</v>
      </c>
      <c r="U107" s="68">
        <f>V109</f>
        <v>96.019999999999982</v>
      </c>
      <c r="V107" s="68">
        <f>W109</f>
        <v>156.26</v>
      </c>
      <c r="W107" s="51">
        <v>72.19</v>
      </c>
    </row>
    <row r="108" spans="1:23" ht="17" thickBot="1" x14ac:dyDescent="0.25">
      <c r="A108" t="s">
        <v>91</v>
      </c>
      <c r="B108" s="21" t="s">
        <v>143</v>
      </c>
      <c r="C108" s="69">
        <v>217.06</v>
      </c>
      <c r="D108" s="69">
        <v>136.71</v>
      </c>
      <c r="E108" s="70">
        <v>344.7</v>
      </c>
      <c r="F108" s="70">
        <v>0</v>
      </c>
      <c r="G108" s="70">
        <v>101.08</v>
      </c>
      <c r="H108" s="51"/>
      <c r="R108" s="85" t="s">
        <v>229</v>
      </c>
      <c r="S108" s="54">
        <v>56.95</v>
      </c>
      <c r="T108" s="68">
        <v>0</v>
      </c>
      <c r="U108" s="125">
        <v>0</v>
      </c>
      <c r="V108" s="68">
        <v>0</v>
      </c>
      <c r="W108" s="51">
        <v>0</v>
      </c>
    </row>
    <row r="109" spans="1:23" ht="17" thickBot="1" x14ac:dyDescent="0.25">
      <c r="B109" s="35" t="s">
        <v>149</v>
      </c>
      <c r="C109" s="71">
        <f>SUM(C102:C108)</f>
        <v>10174.169999999998</v>
      </c>
      <c r="D109" s="71">
        <f t="shared" ref="D109:F109" si="41">SUM(D102:D108)</f>
        <v>9089.41</v>
      </c>
      <c r="E109" s="71">
        <f t="shared" si="41"/>
        <v>9621.56</v>
      </c>
      <c r="F109" s="71">
        <f t="shared" si="41"/>
        <v>8856.6</v>
      </c>
      <c r="G109" s="71">
        <f>SUM(G101:G108)</f>
        <v>6830.07</v>
      </c>
      <c r="H109" s="37"/>
      <c r="R109" s="45" t="s">
        <v>230</v>
      </c>
      <c r="S109" s="60">
        <f>SUM(S106:S108)</f>
        <v>231.24999999999164</v>
      </c>
      <c r="T109" s="60">
        <f>T106+T107</f>
        <v>561.34999999999854</v>
      </c>
      <c r="U109" s="60">
        <f>U107+U106</f>
        <v>162.75000000000318</v>
      </c>
      <c r="V109" s="60">
        <f>V106+V107</f>
        <v>96.019999999999982</v>
      </c>
      <c r="W109" s="60">
        <v>156.26</v>
      </c>
    </row>
    <row r="110" spans="1:23" ht="16" thickBot="1" x14ac:dyDescent="0.25">
      <c r="B110" s="36" t="s">
        <v>144</v>
      </c>
      <c r="C110" s="72">
        <f>C109+C98+C89</f>
        <v>71580.539999999994</v>
      </c>
      <c r="D110" s="72">
        <f t="shared" ref="D110:G110" si="42">D109+D98+D89</f>
        <v>75235.360000000001</v>
      </c>
      <c r="E110" s="72">
        <f t="shared" si="42"/>
        <v>69797.919999999998</v>
      </c>
      <c r="F110" s="72">
        <f>F109+F98+F89</f>
        <v>62381.31</v>
      </c>
      <c r="G110" s="72">
        <f t="shared" si="42"/>
        <v>54215.95</v>
      </c>
    </row>
    <row r="111" spans="1:23" ht="18" thickTop="1" thickBot="1" x14ac:dyDescent="0.25">
      <c r="B111" s="89" t="s">
        <v>238</v>
      </c>
      <c r="C111" s="90">
        <f>C83-C110</f>
        <v>0</v>
      </c>
      <c r="D111" s="90">
        <f t="shared" ref="D111:G111" si="43">D83-D110</f>
        <v>0</v>
      </c>
      <c r="E111" s="90">
        <f t="shared" si="43"/>
        <v>0</v>
      </c>
      <c r="F111" s="90">
        <f t="shared" si="43"/>
        <v>0</v>
      </c>
      <c r="G111" s="90">
        <f t="shared" si="43"/>
        <v>0</v>
      </c>
    </row>
    <row r="112" spans="1:23" ht="16" thickTop="1" x14ac:dyDescent="0.2"/>
  </sheetData>
  <mergeCells count="4">
    <mergeCell ref="T53:W53"/>
    <mergeCell ref="A53:B53"/>
    <mergeCell ref="C53:G53"/>
    <mergeCell ref="K53:O53"/>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C4249-24B5-A548-8B41-FCF3245C61B8}">
  <dimension ref="A2:AB51"/>
  <sheetViews>
    <sheetView showGridLines="0" topLeftCell="A2" zoomScale="107" workbookViewId="0">
      <selection activeCell="G55" sqref="G55"/>
    </sheetView>
  </sheetViews>
  <sheetFormatPr baseColWidth="10" defaultRowHeight="15" x14ac:dyDescent="0.2"/>
  <cols>
    <col min="1" max="1" width="6.6640625" bestFit="1" customWidth="1"/>
    <col min="20" max="20" width="16.33203125" bestFit="1" customWidth="1"/>
    <col min="25" max="25" width="16" bestFit="1" customWidth="1"/>
    <col min="27" max="27" width="14.33203125" bestFit="1" customWidth="1"/>
    <col min="28" max="28" width="13.1640625" bestFit="1" customWidth="1"/>
  </cols>
  <sheetData>
    <row r="2" spans="1:28" x14ac:dyDescent="0.2">
      <c r="A2" s="165" t="s">
        <v>245</v>
      </c>
      <c r="B2" s="165" t="s">
        <v>293</v>
      </c>
      <c r="C2" s="165" t="s">
        <v>294</v>
      </c>
      <c r="D2" s="165" t="s">
        <v>295</v>
      </c>
      <c r="E2" s="165" t="s">
        <v>294</v>
      </c>
      <c r="F2" s="165" t="s">
        <v>307</v>
      </c>
      <c r="G2" s="165" t="s">
        <v>294</v>
      </c>
      <c r="H2" s="165" t="s">
        <v>296</v>
      </c>
      <c r="I2" s="165" t="s">
        <v>294</v>
      </c>
      <c r="J2" s="165" t="s">
        <v>297</v>
      </c>
      <c r="K2" s="165" t="s">
        <v>294</v>
      </c>
      <c r="L2" s="165" t="s">
        <v>298</v>
      </c>
      <c r="M2" s="165" t="s">
        <v>294</v>
      </c>
      <c r="N2" s="165" t="s">
        <v>299</v>
      </c>
      <c r="O2" s="165" t="s">
        <v>294</v>
      </c>
      <c r="P2" s="165" t="s">
        <v>300</v>
      </c>
      <c r="Q2" s="165" t="s">
        <v>294</v>
      </c>
      <c r="R2" s="165" t="s">
        <v>301</v>
      </c>
      <c r="S2" s="170" t="s">
        <v>294</v>
      </c>
      <c r="T2" s="165" t="s">
        <v>306</v>
      </c>
      <c r="U2" s="170" t="s">
        <v>294</v>
      </c>
      <c r="V2" s="165" t="s">
        <v>302</v>
      </c>
      <c r="W2" s="170" t="s">
        <v>294</v>
      </c>
      <c r="Y2" s="165" t="s">
        <v>303</v>
      </c>
      <c r="Z2" s="165" t="s">
        <v>305</v>
      </c>
      <c r="AA2" s="165" t="s">
        <v>304</v>
      </c>
      <c r="AB2" s="85"/>
    </row>
    <row r="3" spans="1:28" x14ac:dyDescent="0.2">
      <c r="A3" s="171">
        <v>202110</v>
      </c>
      <c r="B3" s="166">
        <v>2676.15</v>
      </c>
      <c r="C3" s="167">
        <f>B3/B4-1</f>
        <v>-9.493670886076E-3</v>
      </c>
      <c r="D3" s="168">
        <v>19415.7</v>
      </c>
      <c r="E3" s="133">
        <f>D3/D4-1</f>
        <v>-1.535055578268496E-3</v>
      </c>
      <c r="F3" s="168">
        <v>3867.95</v>
      </c>
      <c r="G3" s="91">
        <f>F3/F4-1</f>
        <v>-2.0511781612833846E-2</v>
      </c>
      <c r="H3" s="169">
        <v>8.7799999999999994</v>
      </c>
      <c r="I3" s="128">
        <f>H3/H4-1</f>
        <v>-9.0293453724604733E-3</v>
      </c>
      <c r="J3" s="169">
        <v>616.9</v>
      </c>
      <c r="K3" s="167">
        <f>J3/J4-1</f>
        <v>-3.2409658078114134E-4</v>
      </c>
      <c r="L3" s="169">
        <v>584.45000000000005</v>
      </c>
      <c r="M3" s="167">
        <f>L3/L4-1</f>
        <v>6.6806607648078886E-2</v>
      </c>
      <c r="N3" s="169">
        <v>536.45000000000005</v>
      </c>
      <c r="O3" s="167">
        <f>N3/N4-1</f>
        <v>-6.7286794749195744E-2</v>
      </c>
      <c r="P3" s="168">
        <v>3653.9</v>
      </c>
      <c r="Q3" s="167">
        <f>P3/P4-1</f>
        <v>-3.1951251821433324E-2</v>
      </c>
      <c r="R3" s="169">
        <v>623.20000000000005</v>
      </c>
      <c r="S3" s="167">
        <f>R3/R4-1</f>
        <v>-2.281458251666002E-2</v>
      </c>
      <c r="T3" s="168">
        <v>1705.55</v>
      </c>
      <c r="U3" s="167">
        <f>T3/T4-1</f>
        <v>2.1654486641907278E-2</v>
      </c>
      <c r="V3" s="168">
        <v>60284.31</v>
      </c>
      <c r="W3" s="167">
        <f>V3/V4-1</f>
        <v>1.9584327531747103E-2</v>
      </c>
      <c r="Y3" s="1" t="str">
        <f>T2</f>
        <v>Colgate Palmolitive</v>
      </c>
      <c r="Z3" s="1">
        <f>_xlfn.COVARIANCE.S(C3:C50,W3:W50)/_xlfn.VAR.P(C3:C50)</f>
        <v>0.18515143073506213</v>
      </c>
      <c r="AA3" s="95">
        <v>0</v>
      </c>
    </row>
    <row r="4" spans="1:28" x14ac:dyDescent="0.2">
      <c r="A4" s="172">
        <v>202109</v>
      </c>
      <c r="B4" s="162">
        <v>2701.8</v>
      </c>
      <c r="C4" s="91">
        <f t="shared" ref="C4:C50" si="0">B4/B5-1</f>
        <v>-8.1861899342901001E-3</v>
      </c>
      <c r="D4" s="163">
        <v>19445.55</v>
      </c>
      <c r="E4" s="94">
        <f t="shared" ref="E4:E50" si="1">D4/D5-1</f>
        <v>-1.1403474977847994E-3</v>
      </c>
      <c r="F4" s="163">
        <v>3948.95</v>
      </c>
      <c r="G4" s="91">
        <f t="shared" ref="G4:G50" si="2">F4/F5-1</f>
        <v>-1.2145090681676129E-2</v>
      </c>
      <c r="H4" s="164">
        <v>8.86</v>
      </c>
      <c r="I4" s="1">
        <f t="shared" ref="I4:I50" si="3">H4/H5-1</f>
        <v>1.7221584385763267E-2</v>
      </c>
      <c r="J4" s="164">
        <v>617.1</v>
      </c>
      <c r="K4" s="91">
        <f t="shared" ref="K4:K50" si="4">J4/J5-1</f>
        <v>-6.0401063058709292E-3</v>
      </c>
      <c r="L4" s="164">
        <v>547.85</v>
      </c>
      <c r="M4" s="91">
        <f t="shared" ref="M4:M50" si="5">L4/L5-1</f>
        <v>6.3372520205731142E-3</v>
      </c>
      <c r="N4" s="164">
        <v>575.15</v>
      </c>
      <c r="O4" s="91">
        <f t="shared" ref="O4:O50" si="6">N4/N5-1</f>
        <v>-3.7405857740585802E-2</v>
      </c>
      <c r="P4" s="163">
        <v>3774.5</v>
      </c>
      <c r="Q4" s="91">
        <f t="shared" ref="Q4:Q50" si="7">P4/P5-1</f>
        <v>-3.1823163565779522E-3</v>
      </c>
      <c r="R4" s="164">
        <v>637.75</v>
      </c>
      <c r="S4" s="91">
        <f t="shared" ref="S4:S50" si="8">R4/R5-1</f>
        <v>7.8223767383061027E-3</v>
      </c>
      <c r="T4" s="163">
        <v>1669.4</v>
      </c>
      <c r="U4" s="91">
        <f t="shared" ref="U4:U50" si="9">T4/T5-1</f>
        <v>-1.1341091469011744E-2</v>
      </c>
      <c r="V4" s="163">
        <v>59126.36</v>
      </c>
      <c r="W4" s="91">
        <f t="shared" ref="W4:W50" si="10">V4/V5-1</f>
        <v>2.7348473277999386E-2</v>
      </c>
      <c r="Y4" s="1" t="str">
        <f>R2</f>
        <v>Godrej</v>
      </c>
      <c r="Z4" s="1">
        <f>_xlfn.COVARIANCE.S(E3:E50,W3:W50)/_xlfn.VAR.P(C3:C50)</f>
        <v>0.25305129862113662</v>
      </c>
      <c r="AA4" s="95">
        <v>0.46</v>
      </c>
    </row>
    <row r="5" spans="1:28" x14ac:dyDescent="0.2">
      <c r="A5" s="172">
        <v>202108</v>
      </c>
      <c r="B5" s="162">
        <v>2724.1</v>
      </c>
      <c r="C5" s="91">
        <f t="shared" si="0"/>
        <v>0.16748810697295657</v>
      </c>
      <c r="D5" s="163">
        <v>19467.75</v>
      </c>
      <c r="E5" s="94">
        <f t="shared" si="1"/>
        <v>9.9708235772610232E-2</v>
      </c>
      <c r="F5" s="163">
        <v>3997.5</v>
      </c>
      <c r="G5" s="91">
        <f t="shared" si="2"/>
        <v>0.16769877899164576</v>
      </c>
      <c r="H5" s="164">
        <v>8.7100000000000009</v>
      </c>
      <c r="I5" s="1">
        <f t="shared" si="3"/>
        <v>-5.531453362255967E-2</v>
      </c>
      <c r="J5" s="164">
        <v>620.85</v>
      </c>
      <c r="K5" s="91">
        <f t="shared" si="4"/>
        <v>3.3888426311407205E-2</v>
      </c>
      <c r="L5" s="164">
        <v>544.4</v>
      </c>
      <c r="M5" s="91">
        <f t="shared" si="5"/>
        <v>-3.5691406607486487E-3</v>
      </c>
      <c r="N5" s="164">
        <v>597.5</v>
      </c>
      <c r="O5" s="91">
        <f t="shared" si="6"/>
        <v>6.7536180096480214E-2</v>
      </c>
      <c r="P5" s="163">
        <v>3786.55</v>
      </c>
      <c r="Q5" s="91">
        <f t="shared" si="7"/>
        <v>0.19543804262036302</v>
      </c>
      <c r="R5" s="164">
        <v>632.79999999999995</v>
      </c>
      <c r="S5" s="91">
        <f t="shared" si="8"/>
        <v>-9.3539607506088029E-2</v>
      </c>
      <c r="T5" s="163">
        <v>1688.55</v>
      </c>
      <c r="U5" s="91">
        <f t="shared" si="9"/>
        <v>-9.2122634589996144E-3</v>
      </c>
      <c r="V5" s="163">
        <v>57552.39</v>
      </c>
      <c r="W5" s="91">
        <f t="shared" si="10"/>
        <v>9.4425715635318763E-2</v>
      </c>
      <c r="Y5" s="1" t="str">
        <f>P2</f>
        <v>TCS</v>
      </c>
      <c r="Z5" s="1">
        <f>_xlfn.COVARIANCE.S(G3:G50,W3:W50)/_xlfn.VAR.P(C3:C50)</f>
        <v>0.59604958104939487</v>
      </c>
      <c r="AA5" s="95">
        <v>0</v>
      </c>
    </row>
    <row r="6" spans="1:28" x14ac:dyDescent="0.2">
      <c r="A6" s="172">
        <v>202107</v>
      </c>
      <c r="B6" s="162">
        <v>2333.3000000000002</v>
      </c>
      <c r="C6" s="91">
        <f t="shared" si="0"/>
        <v>-5.5841055315016375E-2</v>
      </c>
      <c r="D6" s="163">
        <v>17702.650000000001</v>
      </c>
      <c r="E6" s="94">
        <f t="shared" si="1"/>
        <v>3.9499801508535715E-3</v>
      </c>
      <c r="F6" s="163">
        <v>3423.4</v>
      </c>
      <c r="G6" s="91">
        <f t="shared" si="2"/>
        <v>-6.1992245831792081E-2</v>
      </c>
      <c r="H6" s="164">
        <v>9.2200000000000006</v>
      </c>
      <c r="I6" s="1">
        <f t="shared" si="3"/>
        <v>-3.3542976939203162E-2</v>
      </c>
      <c r="J6" s="164">
        <v>600.5</v>
      </c>
      <c r="K6" s="91">
        <f t="shared" si="4"/>
        <v>5.5731364275668049E-2</v>
      </c>
      <c r="L6" s="164">
        <v>546.35</v>
      </c>
      <c r="M6" s="91">
        <f t="shared" si="5"/>
        <v>2.978041654886443E-2</v>
      </c>
      <c r="N6" s="164">
        <v>559.70000000000005</v>
      </c>
      <c r="O6" s="91">
        <f t="shared" si="6"/>
        <v>-1.6944617854275368E-3</v>
      </c>
      <c r="P6" s="163">
        <v>3167.5</v>
      </c>
      <c r="Q6" s="91">
        <f t="shared" si="7"/>
        <v>-5.3135042224049078E-2</v>
      </c>
      <c r="R6" s="164">
        <v>698.1</v>
      </c>
      <c r="S6" s="91">
        <f t="shared" si="8"/>
        <v>0.10249526216045468</v>
      </c>
      <c r="T6" s="163">
        <v>1704.25</v>
      </c>
      <c r="U6" s="91">
        <f t="shared" si="9"/>
        <v>1.1274291648123436E-2</v>
      </c>
      <c r="V6" s="163">
        <v>52586.84</v>
      </c>
      <c r="W6" s="91">
        <f t="shared" si="10"/>
        <v>1.9840819957657185E-3</v>
      </c>
      <c r="Y6" s="1" t="str">
        <f>N2</f>
        <v>Emami</v>
      </c>
      <c r="Z6" s="1">
        <f>_xlfn.COVARIANCE.S(I3:I50,W3:W50)/_xlfn.VAR.P(C3:C50)</f>
        <v>0.17486427455690942</v>
      </c>
      <c r="AA6" s="95">
        <v>0.05</v>
      </c>
    </row>
    <row r="7" spans="1:28" x14ac:dyDescent="0.2">
      <c r="A7" s="172">
        <v>202106</v>
      </c>
      <c r="B7" s="162">
        <v>2471.3000000000002</v>
      </c>
      <c r="C7" s="91">
        <f t="shared" si="0"/>
        <v>5.6088545116557365E-2</v>
      </c>
      <c r="D7" s="163">
        <v>17633</v>
      </c>
      <c r="E7" s="94">
        <f t="shared" si="1"/>
        <v>-3.5347869944702959E-3</v>
      </c>
      <c r="F7" s="163">
        <v>3649.65</v>
      </c>
      <c r="G7" s="91">
        <f t="shared" si="2"/>
        <v>5.8529228359702534E-2</v>
      </c>
      <c r="H7" s="164">
        <v>9.5399999999999991</v>
      </c>
      <c r="I7" s="1">
        <f t="shared" si="3"/>
        <v>-5.9171597633136286E-2</v>
      </c>
      <c r="J7" s="164">
        <v>568.79999999999995</v>
      </c>
      <c r="K7" s="91">
        <f t="shared" si="4"/>
        <v>5.2553663952627616E-2</v>
      </c>
      <c r="L7" s="164">
        <v>530.54999999999995</v>
      </c>
      <c r="M7" s="91">
        <f t="shared" si="5"/>
        <v>0.11694736842105247</v>
      </c>
      <c r="N7" s="164">
        <v>560.65</v>
      </c>
      <c r="O7" s="91">
        <f t="shared" si="6"/>
        <v>0.11861532322426172</v>
      </c>
      <c r="P7" s="163">
        <v>3345.25</v>
      </c>
      <c r="Q7" s="91">
        <f t="shared" si="7"/>
        <v>5.8975292423115278E-2</v>
      </c>
      <c r="R7" s="164">
        <v>633.20000000000005</v>
      </c>
      <c r="S7" s="91">
        <f t="shared" si="8"/>
        <v>0.14834965542256096</v>
      </c>
      <c r="T7" s="163">
        <v>1685.25</v>
      </c>
      <c r="U7" s="91">
        <f t="shared" si="9"/>
        <v>-2.048823016564949E-2</v>
      </c>
      <c r="V7" s="163">
        <v>52482.71</v>
      </c>
      <c r="W7" s="91">
        <f t="shared" si="10"/>
        <v>1.0498592152404784E-2</v>
      </c>
      <c r="Y7" s="1" t="str">
        <f>L2</f>
        <v>Marico</v>
      </c>
      <c r="Z7" s="1">
        <f>_xlfn.COVARIANCE.S(K3:K50,W3:W50)/_xlfn.VAR.P(C3:C50)</f>
        <v>0.39962627628183978</v>
      </c>
      <c r="AA7" s="95">
        <v>0.11</v>
      </c>
    </row>
    <row r="8" spans="1:28" x14ac:dyDescent="0.2">
      <c r="A8" s="172">
        <v>202105</v>
      </c>
      <c r="B8" s="162">
        <v>2340.0500000000002</v>
      </c>
      <c r="C8" s="91">
        <f t="shared" si="0"/>
        <v>-5.8204992033987768E-3</v>
      </c>
      <c r="D8" s="163">
        <v>17695.55</v>
      </c>
      <c r="E8" s="94">
        <f t="shared" si="1"/>
        <v>8.5000843079847233E-2</v>
      </c>
      <c r="F8" s="163">
        <v>3447.85</v>
      </c>
      <c r="G8" s="91">
        <f t="shared" si="2"/>
        <v>-3.3342997970431387E-4</v>
      </c>
      <c r="H8" s="164">
        <v>10.14</v>
      </c>
      <c r="I8" s="1">
        <f t="shared" si="3"/>
        <v>0.12541620421753619</v>
      </c>
      <c r="J8" s="164">
        <v>540.4</v>
      </c>
      <c r="K8" s="91">
        <f t="shared" si="4"/>
        <v>3.6215061751321276E-3</v>
      </c>
      <c r="L8" s="164">
        <v>475</v>
      </c>
      <c r="M8" s="91">
        <f t="shared" si="5"/>
        <v>0.15389287015668662</v>
      </c>
      <c r="N8" s="164">
        <v>501.2</v>
      </c>
      <c r="O8" s="91">
        <f t="shared" si="6"/>
        <v>1.7768301350390869E-2</v>
      </c>
      <c r="P8" s="163">
        <v>3158.95</v>
      </c>
      <c r="Q8" s="91">
        <f t="shared" si="7"/>
        <v>3.9675487098472795E-2</v>
      </c>
      <c r="R8" s="164">
        <v>551.4</v>
      </c>
      <c r="S8" s="91">
        <f t="shared" si="8"/>
        <v>0.10545308740978343</v>
      </c>
      <c r="T8" s="163">
        <v>1720.5</v>
      </c>
      <c r="U8" s="91">
        <f t="shared" si="9"/>
        <v>0.16077452435568751</v>
      </c>
      <c r="V8" s="163">
        <v>51937.440000000002</v>
      </c>
      <c r="W8" s="91">
        <f t="shared" si="10"/>
        <v>6.4676657709877183E-2</v>
      </c>
      <c r="Y8" s="1" t="str">
        <f>J2</f>
        <v>Dabur</v>
      </c>
      <c r="Z8" s="1">
        <f>_xlfn.COVARIANCE.S(M3:M50,W3:W50)/_xlfn.VAR.P(C3:C50)</f>
        <v>0.32913207199932143</v>
      </c>
      <c r="AA8" s="95">
        <v>0.06</v>
      </c>
    </row>
    <row r="9" spans="1:28" x14ac:dyDescent="0.2">
      <c r="A9" s="172">
        <v>202104</v>
      </c>
      <c r="B9" s="162">
        <v>2353.75</v>
      </c>
      <c r="C9" s="91">
        <f t="shared" si="0"/>
        <v>-3.1976146411680006E-2</v>
      </c>
      <c r="D9" s="163">
        <v>16309.25</v>
      </c>
      <c r="E9" s="94">
        <f t="shared" si="1"/>
        <v>-4.9865425395567819E-2</v>
      </c>
      <c r="F9" s="163">
        <v>3449</v>
      </c>
      <c r="G9" s="91">
        <f t="shared" si="2"/>
        <v>-4.8564847381415421E-2</v>
      </c>
      <c r="H9" s="164">
        <v>9.01</v>
      </c>
      <c r="I9" s="1">
        <f t="shared" si="3"/>
        <v>-7.7092511013215903E-3</v>
      </c>
      <c r="J9" s="164">
        <v>538.45000000000005</v>
      </c>
      <c r="K9" s="91">
        <f t="shared" si="4"/>
        <v>-4.1612724246347099E-3</v>
      </c>
      <c r="L9" s="164">
        <v>411.65</v>
      </c>
      <c r="M9" s="91">
        <f t="shared" si="5"/>
        <v>3.6452004860265674E-4</v>
      </c>
      <c r="N9" s="164">
        <v>492.45</v>
      </c>
      <c r="O9" s="91">
        <f t="shared" si="6"/>
        <v>9.843125192248614E-3</v>
      </c>
      <c r="P9" s="163">
        <v>3038.4</v>
      </c>
      <c r="Q9" s="91">
        <f t="shared" si="7"/>
        <v>-4.3806646525679671E-2</v>
      </c>
      <c r="R9" s="164">
        <v>498.8</v>
      </c>
      <c r="S9" s="91">
        <f t="shared" si="8"/>
        <v>-4.8908380207836832E-2</v>
      </c>
      <c r="T9" s="163">
        <v>1482.2</v>
      </c>
      <c r="U9" s="91">
        <f t="shared" si="9"/>
        <v>-4.9628109771736262E-2</v>
      </c>
      <c r="V9" s="163">
        <v>48782.36</v>
      </c>
      <c r="W9" s="91">
        <f t="shared" si="10"/>
        <v>-1.4679912703005393E-2</v>
      </c>
      <c r="Y9" s="1" t="str">
        <f>H2</f>
        <v>Parle</v>
      </c>
      <c r="Z9" s="1">
        <f>_xlfn.COVARIANCE.S(O3:O50,W3:W50)/_xlfn.VAR.P(C3:C50)</f>
        <v>1.1306563781595553</v>
      </c>
      <c r="AA9" s="95">
        <v>0</v>
      </c>
    </row>
    <row r="10" spans="1:28" x14ac:dyDescent="0.2">
      <c r="A10" s="172">
        <v>202103</v>
      </c>
      <c r="B10" s="162">
        <v>2431.5</v>
      </c>
      <c r="C10" s="91">
        <f t="shared" si="0"/>
        <v>0.14045167796252422</v>
      </c>
      <c r="D10" s="163">
        <v>17165.2</v>
      </c>
      <c r="E10" s="94">
        <f t="shared" si="1"/>
        <v>6.6055547274805004E-2</v>
      </c>
      <c r="F10" s="163">
        <v>3625.05</v>
      </c>
      <c r="G10" s="91">
        <f t="shared" si="2"/>
        <v>7.7681159420289969E-2</v>
      </c>
      <c r="H10" s="164">
        <v>9.08</v>
      </c>
      <c r="I10" s="1">
        <f t="shared" si="3"/>
        <v>-0.19360568383658971</v>
      </c>
      <c r="J10" s="164">
        <v>540.70000000000005</v>
      </c>
      <c r="K10" s="91">
        <f t="shared" si="4"/>
        <v>7.4202840965531092E-2</v>
      </c>
      <c r="L10" s="164">
        <v>411.5</v>
      </c>
      <c r="M10" s="91">
        <f t="shared" si="5"/>
        <v>3.6002014098690971E-2</v>
      </c>
      <c r="N10" s="164">
        <v>487.65</v>
      </c>
      <c r="O10" s="91">
        <f t="shared" si="6"/>
        <v>7.317341549295775E-2</v>
      </c>
      <c r="P10" s="163">
        <v>3177.6</v>
      </c>
      <c r="Q10" s="91">
        <f t="shared" si="7"/>
        <v>9.7218625369037026E-2</v>
      </c>
      <c r="R10" s="164">
        <v>524.45000000000005</v>
      </c>
      <c r="S10" s="91">
        <f t="shared" si="8"/>
        <v>7.7895385880176748E-2</v>
      </c>
      <c r="T10" s="163">
        <v>1559.6</v>
      </c>
      <c r="U10" s="91">
        <f t="shared" si="9"/>
        <v>-1.347333797204131E-2</v>
      </c>
      <c r="V10" s="163">
        <v>49509.15</v>
      </c>
      <c r="W10" s="91">
        <f t="shared" si="10"/>
        <v>8.3331992531974208E-3</v>
      </c>
      <c r="Y10" s="1" t="str">
        <f>F2</f>
        <v>Britannia</v>
      </c>
      <c r="Z10" s="1">
        <f>_xlfn.COVARIANCE.S(Q3:Q50,W3:W50)/_xlfn.VAR.P(C3:C50)</f>
        <v>0.58346050453700016</v>
      </c>
      <c r="AA10" s="95">
        <v>0.59</v>
      </c>
    </row>
    <row r="11" spans="1:28" x14ac:dyDescent="0.2">
      <c r="A11" s="172">
        <v>202102</v>
      </c>
      <c r="B11" s="162">
        <v>2132.0500000000002</v>
      </c>
      <c r="C11" s="91">
        <f t="shared" si="0"/>
        <v>-5.8240204956049202E-2</v>
      </c>
      <c r="D11" s="163">
        <v>16101.6</v>
      </c>
      <c r="E11" s="94">
        <f t="shared" si="1"/>
        <v>-5.6178194607268472E-2</v>
      </c>
      <c r="F11" s="163">
        <v>3363.75</v>
      </c>
      <c r="G11" s="91">
        <f t="shared" si="2"/>
        <v>-3.9230527548484773E-2</v>
      </c>
      <c r="H11" s="164">
        <v>11.26</v>
      </c>
      <c r="I11" s="1">
        <f t="shared" si="3"/>
        <v>-7.4774034511092879E-2</v>
      </c>
      <c r="J11" s="164">
        <v>503.35</v>
      </c>
      <c r="K11" s="91">
        <f t="shared" si="4"/>
        <v>-2.3095584667637059E-2</v>
      </c>
      <c r="L11" s="164">
        <v>397.2</v>
      </c>
      <c r="M11" s="91">
        <f t="shared" si="5"/>
        <v>-4.3813192103996146E-2</v>
      </c>
      <c r="N11" s="164">
        <v>454.4</v>
      </c>
      <c r="O11" s="91">
        <f t="shared" si="6"/>
        <v>-6.1350960545341948E-2</v>
      </c>
      <c r="P11" s="163">
        <v>2896.05</v>
      </c>
      <c r="Q11" s="91">
        <f t="shared" si="7"/>
        <v>-6.9661730219409468E-2</v>
      </c>
      <c r="R11" s="164">
        <v>486.55</v>
      </c>
      <c r="S11" s="91">
        <f t="shared" si="8"/>
        <v>-9.0475745396766061E-2</v>
      </c>
      <c r="T11" s="163">
        <v>1580.9</v>
      </c>
      <c r="U11" s="91">
        <f t="shared" si="9"/>
        <v>-1.4555088047374154E-2</v>
      </c>
      <c r="V11" s="163">
        <v>49099.99</v>
      </c>
      <c r="W11" s="91">
        <f t="shared" si="10"/>
        <v>6.0800976196355938E-2</v>
      </c>
      <c r="Y11" s="1" t="str">
        <f>D2</f>
        <v>Nestle</v>
      </c>
      <c r="Z11" s="1">
        <f>_xlfn.COVARIANCE.S(S3:S50,W3:W50)/_xlfn.VAR.P(C3:C50)</f>
        <v>0.6615816105043506</v>
      </c>
      <c r="AA11" s="95">
        <v>0.02</v>
      </c>
    </row>
    <row r="12" spans="1:28" x14ac:dyDescent="0.2">
      <c r="A12" s="172">
        <v>202101</v>
      </c>
      <c r="B12" s="162">
        <v>2263.9</v>
      </c>
      <c r="C12" s="91">
        <f t="shared" si="0"/>
        <v>-5.4896885697586995E-2</v>
      </c>
      <c r="D12" s="163">
        <v>17060</v>
      </c>
      <c r="E12" s="94">
        <f t="shared" si="1"/>
        <v>-7.2334525088022184E-2</v>
      </c>
      <c r="F12" s="163">
        <v>3501.1</v>
      </c>
      <c r="G12" s="91">
        <f t="shared" si="2"/>
        <v>-2.1041005494428666E-2</v>
      </c>
      <c r="H12" s="164">
        <v>12.17</v>
      </c>
      <c r="I12" s="1">
        <f t="shared" si="3"/>
        <v>0.22805247225025216</v>
      </c>
      <c r="J12" s="164">
        <v>515.25</v>
      </c>
      <c r="K12" s="91">
        <f t="shared" si="4"/>
        <v>-3.51123595505618E-2</v>
      </c>
      <c r="L12" s="164">
        <v>415.4</v>
      </c>
      <c r="M12" s="91">
        <f t="shared" si="5"/>
        <v>3.2306163021868839E-2</v>
      </c>
      <c r="N12" s="164">
        <v>484.1</v>
      </c>
      <c r="O12" s="91">
        <f t="shared" si="6"/>
        <v>0.14040047114252063</v>
      </c>
      <c r="P12" s="163">
        <v>3112.9</v>
      </c>
      <c r="Q12" s="91">
        <f t="shared" si="7"/>
        <v>8.4558567347223335E-2</v>
      </c>
      <c r="R12" s="164">
        <v>534.95000000000005</v>
      </c>
      <c r="S12" s="91">
        <f t="shared" si="8"/>
        <v>-1.8689842070818141E-4</v>
      </c>
      <c r="T12" s="163">
        <v>1604.25</v>
      </c>
      <c r="U12" s="91">
        <f t="shared" si="9"/>
        <v>2.4785205531955734E-2</v>
      </c>
      <c r="V12" s="163">
        <v>46285.77</v>
      </c>
      <c r="W12" s="91">
        <f t="shared" si="10"/>
        <v>-3.0691501158187751E-2</v>
      </c>
      <c r="Y12" s="1" t="str">
        <f>B2</f>
        <v>HUL</v>
      </c>
      <c r="Z12" s="1">
        <f>_xlfn.COVARIANCE.S(U3:U50,W3:W50)/_xlfn.VAR.P(C3:C50)</f>
        <v>0.35428706542691352</v>
      </c>
      <c r="AA12" s="95">
        <v>0</v>
      </c>
    </row>
    <row r="13" spans="1:28" x14ac:dyDescent="0.2">
      <c r="A13" s="172">
        <v>202012</v>
      </c>
      <c r="B13" s="162">
        <v>2395.4</v>
      </c>
      <c r="C13" s="91">
        <f t="shared" si="0"/>
        <v>0.12028809278832675</v>
      </c>
      <c r="D13" s="163">
        <v>18390.25</v>
      </c>
      <c r="E13" s="94">
        <f t="shared" si="1"/>
        <v>2.8022885636104888E-2</v>
      </c>
      <c r="F13" s="163">
        <v>3576.35</v>
      </c>
      <c r="G13" s="91">
        <f t="shared" si="2"/>
        <v>-1.6932613147514375E-2</v>
      </c>
      <c r="H13" s="164">
        <v>9.91</v>
      </c>
      <c r="I13" s="1">
        <f t="shared" si="3"/>
        <v>1.1224489795918391E-2</v>
      </c>
      <c r="J13" s="164">
        <v>534</v>
      </c>
      <c r="K13" s="91">
        <f t="shared" si="4"/>
        <v>6.8855084067253713E-2</v>
      </c>
      <c r="L13" s="164">
        <v>402.4</v>
      </c>
      <c r="M13" s="91">
        <f t="shared" si="5"/>
        <v>0.10261679682148239</v>
      </c>
      <c r="N13" s="164">
        <v>424.5</v>
      </c>
      <c r="O13" s="91">
        <f t="shared" si="6"/>
        <v>-3.7960339943342802E-2</v>
      </c>
      <c r="P13" s="163">
        <v>2870.2</v>
      </c>
      <c r="Q13" s="91">
        <f t="shared" si="7"/>
        <v>7.1309930388369303E-2</v>
      </c>
      <c r="R13" s="164">
        <v>535.04999999999995</v>
      </c>
      <c r="S13" s="91">
        <f t="shared" si="8"/>
        <v>4.9323396744459735E-2</v>
      </c>
      <c r="T13" s="163">
        <v>1565.45</v>
      </c>
      <c r="U13" s="91">
        <f t="shared" si="9"/>
        <v>3.7477632712572095E-2</v>
      </c>
      <c r="V13" s="163">
        <v>47751.33</v>
      </c>
      <c r="W13" s="91">
        <f t="shared" si="10"/>
        <v>8.15771878054945E-2</v>
      </c>
    </row>
    <row r="14" spans="1:28" x14ac:dyDescent="0.2">
      <c r="A14" s="172">
        <v>202011</v>
      </c>
      <c r="B14" s="162">
        <v>2138.1999999999998</v>
      </c>
      <c r="C14" s="91">
        <f t="shared" si="0"/>
        <v>3.2298556462124983E-2</v>
      </c>
      <c r="D14" s="163">
        <v>17888.95</v>
      </c>
      <c r="E14" s="94">
        <f t="shared" si="1"/>
        <v>4.2382411896326744E-2</v>
      </c>
      <c r="F14" s="163">
        <v>3637.95</v>
      </c>
      <c r="G14" s="91">
        <f t="shared" si="2"/>
        <v>4.7419563809112386E-2</v>
      </c>
      <c r="H14" s="164">
        <v>9.8000000000000007</v>
      </c>
      <c r="I14" s="1">
        <f t="shared" si="3"/>
        <v>-8.0971659919027994E-3</v>
      </c>
      <c r="J14" s="164">
        <v>499.6</v>
      </c>
      <c r="K14" s="91">
        <f t="shared" si="4"/>
        <v>-2.3360375329879779E-2</v>
      </c>
      <c r="L14" s="164">
        <v>364.95</v>
      </c>
      <c r="M14" s="91">
        <f t="shared" si="5"/>
        <v>2.3559108119478367E-2</v>
      </c>
      <c r="N14" s="164">
        <v>441.25</v>
      </c>
      <c r="O14" s="91">
        <f t="shared" si="6"/>
        <v>0.22518395113147305</v>
      </c>
      <c r="P14" s="163">
        <v>2679.15</v>
      </c>
      <c r="Q14" s="91">
        <f t="shared" si="7"/>
        <v>5.3661556935662436E-3</v>
      </c>
      <c r="R14" s="164">
        <v>509.9</v>
      </c>
      <c r="S14" s="91">
        <f t="shared" si="8"/>
        <v>-1.0671323244082265E-2</v>
      </c>
      <c r="T14" s="163">
        <v>1508.9</v>
      </c>
      <c r="U14" s="91">
        <f t="shared" si="9"/>
        <v>-5.5689194978085776E-3</v>
      </c>
      <c r="V14" s="163">
        <v>44149.72</v>
      </c>
      <c r="W14" s="91">
        <f t="shared" si="10"/>
        <v>0.11449593540880798</v>
      </c>
    </row>
    <row r="15" spans="1:28" x14ac:dyDescent="0.2">
      <c r="A15" s="172">
        <v>202010</v>
      </c>
      <c r="B15" s="162">
        <v>2071.3000000000002</v>
      </c>
      <c r="C15" s="91">
        <f t="shared" si="0"/>
        <v>1.4746766590112426E-3</v>
      </c>
      <c r="D15" s="163">
        <v>17161.599999999999</v>
      </c>
      <c r="E15" s="94">
        <f t="shared" si="1"/>
        <v>7.8081369965417924E-2</v>
      </c>
      <c r="F15" s="163">
        <v>3473.25</v>
      </c>
      <c r="G15" s="91">
        <f t="shared" si="2"/>
        <v>-8.5541645274673228E-2</v>
      </c>
      <c r="H15" s="164">
        <v>9.8800000000000008</v>
      </c>
      <c r="I15" s="1">
        <f t="shared" si="3"/>
        <v>-0.14161598609904424</v>
      </c>
      <c r="J15" s="164">
        <v>511.55</v>
      </c>
      <c r="K15" s="91">
        <f t="shared" si="4"/>
        <v>1.6643822204818193E-3</v>
      </c>
      <c r="L15" s="164">
        <v>356.55</v>
      </c>
      <c r="M15" s="91">
        <f t="shared" si="5"/>
        <v>-1.7362546506821008E-2</v>
      </c>
      <c r="N15" s="164">
        <v>360.15</v>
      </c>
      <c r="O15" s="91">
        <f t="shared" si="6"/>
        <v>2.5922233300099684E-2</v>
      </c>
      <c r="P15" s="163">
        <v>2664.85</v>
      </c>
      <c r="Q15" s="91">
        <f t="shared" si="7"/>
        <v>6.9576560305037116E-2</v>
      </c>
      <c r="R15" s="164">
        <v>515.4</v>
      </c>
      <c r="S15" s="91">
        <f t="shared" si="8"/>
        <v>1.4367250541232002E-2</v>
      </c>
      <c r="T15" s="163">
        <v>1517.35</v>
      </c>
      <c r="U15" s="91">
        <f t="shared" si="9"/>
        <v>5.9195141530836493E-2</v>
      </c>
      <c r="V15" s="163">
        <v>39614.07</v>
      </c>
      <c r="W15" s="91">
        <f t="shared" si="10"/>
        <v>4.061528956263194E-2</v>
      </c>
    </row>
    <row r="16" spans="1:28" x14ac:dyDescent="0.2">
      <c r="A16" s="172">
        <v>202009</v>
      </c>
      <c r="B16" s="162">
        <v>2068.25</v>
      </c>
      <c r="C16" s="91">
        <f t="shared" si="0"/>
        <v>-2.3189364063569973E-2</v>
      </c>
      <c r="D16" s="163">
        <v>15918.65</v>
      </c>
      <c r="E16" s="94">
        <f t="shared" si="1"/>
        <v>-1.9373587342589316E-3</v>
      </c>
      <c r="F16" s="163">
        <v>3798.15</v>
      </c>
      <c r="G16" s="91">
        <f t="shared" si="2"/>
        <v>1.9350250265026014E-2</v>
      </c>
      <c r="H16" s="164">
        <v>11.51</v>
      </c>
      <c r="I16" s="1">
        <f t="shared" si="3"/>
        <v>-0.16594202898550725</v>
      </c>
      <c r="J16" s="164">
        <v>510.7</v>
      </c>
      <c r="K16" s="91">
        <f t="shared" si="4"/>
        <v>7.5044732133459524E-2</v>
      </c>
      <c r="L16" s="164">
        <v>362.85</v>
      </c>
      <c r="M16" s="91">
        <f t="shared" si="5"/>
        <v>-1.7066233238520856E-2</v>
      </c>
      <c r="N16" s="164">
        <v>351.05</v>
      </c>
      <c r="O16" s="91">
        <f t="shared" si="6"/>
        <v>-1.4181409716371829E-2</v>
      </c>
      <c r="P16" s="163">
        <v>2491.5</v>
      </c>
      <c r="Q16" s="91">
        <f t="shared" si="7"/>
        <v>0.10421698761273746</v>
      </c>
      <c r="R16" s="164">
        <v>508.1</v>
      </c>
      <c r="S16" s="91">
        <f t="shared" si="8"/>
        <v>4.3219381993635064E-2</v>
      </c>
      <c r="T16" s="163">
        <v>1432.55</v>
      </c>
      <c r="U16" s="91">
        <f t="shared" si="9"/>
        <v>5.0218100509512142E-2</v>
      </c>
      <c r="V16" s="163">
        <v>38067.93</v>
      </c>
      <c r="W16" s="91">
        <f t="shared" si="10"/>
        <v>-1.4506466633651183E-2</v>
      </c>
    </row>
    <row r="17" spans="1:23" x14ac:dyDescent="0.2">
      <c r="A17" s="172">
        <v>202008</v>
      </c>
      <c r="B17" s="162">
        <v>2117.35</v>
      </c>
      <c r="C17" s="91">
        <f t="shared" si="0"/>
        <v>-4.1879723064392138E-2</v>
      </c>
      <c r="D17" s="163">
        <v>15949.55</v>
      </c>
      <c r="E17" s="94">
        <f t="shared" si="1"/>
        <v>-3.4659427921221231E-2</v>
      </c>
      <c r="F17" s="163">
        <v>3726.05</v>
      </c>
      <c r="G17" s="91">
        <f t="shared" si="2"/>
        <v>-2.5512605921121367E-2</v>
      </c>
      <c r="H17" s="164">
        <v>13.8</v>
      </c>
      <c r="I17" s="1">
        <f t="shared" si="3"/>
        <v>-9.8039215686274495E-2</v>
      </c>
      <c r="J17" s="164">
        <v>475.05</v>
      </c>
      <c r="K17" s="91">
        <f t="shared" si="4"/>
        <v>-7.4788197487584029E-2</v>
      </c>
      <c r="L17" s="164">
        <v>369.15</v>
      </c>
      <c r="M17" s="91">
        <f t="shared" si="5"/>
        <v>1.5962570524287845E-2</v>
      </c>
      <c r="N17" s="164">
        <v>356.1</v>
      </c>
      <c r="O17" s="91">
        <f t="shared" si="6"/>
        <v>0.48436848686952905</v>
      </c>
      <c r="P17" s="163">
        <v>2256.35</v>
      </c>
      <c r="Q17" s="91">
        <f t="shared" si="7"/>
        <v>-1.1435080724659819E-2</v>
      </c>
      <c r="R17" s="164">
        <v>487.05</v>
      </c>
      <c r="S17" s="91">
        <f t="shared" si="8"/>
        <v>6.1805101373446858E-2</v>
      </c>
      <c r="T17" s="163">
        <v>1364.05</v>
      </c>
      <c r="U17" s="91">
        <f t="shared" si="9"/>
        <v>-4.176325957147875E-2</v>
      </c>
      <c r="V17" s="163">
        <v>38628.29</v>
      </c>
      <c r="W17" s="91">
        <f t="shared" si="10"/>
        <v>2.7159916706752441E-2</v>
      </c>
    </row>
    <row r="18" spans="1:23" x14ac:dyDescent="0.2">
      <c r="A18" s="172">
        <v>202007</v>
      </c>
      <c r="B18" s="162">
        <v>2209.9</v>
      </c>
      <c r="C18" s="91">
        <f t="shared" si="0"/>
        <v>1.3715596330275304E-2</v>
      </c>
      <c r="D18" s="163">
        <v>16522.2</v>
      </c>
      <c r="E18" s="94">
        <f t="shared" si="1"/>
        <v>-3.7977926512930527E-2</v>
      </c>
      <c r="F18" s="163">
        <v>3823.6</v>
      </c>
      <c r="G18" s="91">
        <f t="shared" si="2"/>
        <v>6.0991175980908974E-2</v>
      </c>
      <c r="H18" s="164">
        <v>15.3</v>
      </c>
      <c r="I18" s="1">
        <f t="shared" si="3"/>
        <v>-0.17962466487935647</v>
      </c>
      <c r="J18" s="164">
        <v>513.45000000000005</v>
      </c>
      <c r="K18" s="91">
        <f t="shared" si="4"/>
        <v>0.10241545893719817</v>
      </c>
      <c r="L18" s="164">
        <v>363.35</v>
      </c>
      <c r="M18" s="91">
        <f t="shared" si="5"/>
        <v>3.2831154064809631E-2</v>
      </c>
      <c r="N18" s="164">
        <v>239.9</v>
      </c>
      <c r="O18" s="91">
        <f t="shared" si="6"/>
        <v>8.5274824700294127E-2</v>
      </c>
      <c r="P18" s="163">
        <v>2282.4499999999998</v>
      </c>
      <c r="Q18" s="91">
        <f t="shared" si="7"/>
        <v>9.617231774085111E-2</v>
      </c>
      <c r="R18" s="164">
        <v>458.7</v>
      </c>
      <c r="S18" s="91">
        <f t="shared" si="8"/>
        <v>6.4516129032258007E-2</v>
      </c>
      <c r="T18" s="163">
        <v>1423.5</v>
      </c>
      <c r="U18" s="91">
        <f t="shared" si="9"/>
        <v>1.2878895688060332E-2</v>
      </c>
      <c r="V18" s="163">
        <v>37606.89</v>
      </c>
      <c r="W18" s="91">
        <f t="shared" si="10"/>
        <v>7.7073703022700224E-2</v>
      </c>
    </row>
    <row r="19" spans="1:23" x14ac:dyDescent="0.2">
      <c r="A19" s="172">
        <v>202006</v>
      </c>
      <c r="B19" s="162">
        <v>2180</v>
      </c>
      <c r="C19" s="91">
        <f t="shared" si="0"/>
        <v>5.9615524825625155E-2</v>
      </c>
      <c r="D19" s="163">
        <v>17174.45</v>
      </c>
      <c r="E19" s="94">
        <f t="shared" si="1"/>
        <v>-2.0885592447322687E-2</v>
      </c>
      <c r="F19" s="163">
        <v>3603.8</v>
      </c>
      <c r="G19" s="91">
        <f t="shared" si="2"/>
        <v>6.6575906003522034E-2</v>
      </c>
      <c r="H19" s="164">
        <v>18.649999999999999</v>
      </c>
      <c r="I19" s="1">
        <f t="shared" si="3"/>
        <v>-5.3333333333334121E-3</v>
      </c>
      <c r="J19" s="164">
        <v>465.75</v>
      </c>
      <c r="K19" s="91">
        <f t="shared" si="4"/>
        <v>-1.8216888126876274E-3</v>
      </c>
      <c r="L19" s="164">
        <v>351.8</v>
      </c>
      <c r="M19" s="91">
        <f t="shared" si="5"/>
        <v>2.2377215925603045E-2</v>
      </c>
      <c r="N19" s="164">
        <v>221.05</v>
      </c>
      <c r="O19" s="91">
        <f t="shared" si="6"/>
        <v>0.14119772844605083</v>
      </c>
      <c r="P19" s="163">
        <v>2082.1999999999998</v>
      </c>
      <c r="Q19" s="91">
        <f t="shared" si="7"/>
        <v>5.6123354720904794E-2</v>
      </c>
      <c r="R19" s="164">
        <v>430.9</v>
      </c>
      <c r="S19" s="91">
        <f t="shared" si="8"/>
        <v>0.1493731661776474</v>
      </c>
      <c r="T19" s="163">
        <v>1405.4</v>
      </c>
      <c r="U19" s="91">
        <f t="shared" si="9"/>
        <v>7.4190889215441924E-3</v>
      </c>
      <c r="V19" s="163">
        <v>34915.800000000003</v>
      </c>
      <c r="W19" s="91">
        <f t="shared" si="10"/>
        <v>7.6847159982852409E-2</v>
      </c>
    </row>
    <row r="20" spans="1:23" x14ac:dyDescent="0.2">
      <c r="A20" s="172">
        <v>202005</v>
      </c>
      <c r="B20" s="162">
        <v>2057.35</v>
      </c>
      <c r="C20" s="91">
        <f t="shared" si="0"/>
        <v>-6.2710706150341688E-2</v>
      </c>
      <c r="D20" s="163">
        <v>17540.8</v>
      </c>
      <c r="E20" s="94">
        <f t="shared" si="1"/>
        <v>-2.1414644079521872E-2</v>
      </c>
      <c r="F20" s="163">
        <v>3378.85</v>
      </c>
      <c r="G20" s="91">
        <f t="shared" si="2"/>
        <v>6.7314222538103152E-2</v>
      </c>
      <c r="H20" s="164">
        <v>18.75</v>
      </c>
      <c r="I20" s="1">
        <f t="shared" si="3"/>
        <v>-0.30297397769516721</v>
      </c>
      <c r="J20" s="164">
        <v>466.6</v>
      </c>
      <c r="K20" s="91">
        <f t="shared" si="4"/>
        <v>-4.6490242157964601E-2</v>
      </c>
      <c r="L20" s="164">
        <v>344.1</v>
      </c>
      <c r="M20" s="91">
        <f t="shared" si="5"/>
        <v>0.19937260369466725</v>
      </c>
      <c r="N20" s="164">
        <v>193.7</v>
      </c>
      <c r="O20" s="91">
        <f t="shared" si="6"/>
        <v>-5.9019758788811938E-3</v>
      </c>
      <c r="P20" s="163">
        <v>1971.55</v>
      </c>
      <c r="Q20" s="91">
        <f t="shared" si="7"/>
        <v>-2.1490433531032083E-2</v>
      </c>
      <c r="R20" s="164">
        <v>374.9</v>
      </c>
      <c r="S20" s="91">
        <f t="shared" si="8"/>
        <v>-7.7282795963573792E-2</v>
      </c>
      <c r="T20" s="163">
        <v>1395.05</v>
      </c>
      <c r="U20" s="91">
        <f t="shared" si="9"/>
        <v>-4.4944204833299195E-2</v>
      </c>
      <c r="V20" s="163">
        <v>32424.1</v>
      </c>
      <c r="W20" s="91">
        <f t="shared" si="10"/>
        <v>-3.8363324576289881E-2</v>
      </c>
    </row>
    <row r="21" spans="1:23" x14ac:dyDescent="0.2">
      <c r="A21" s="172">
        <v>202004</v>
      </c>
      <c r="B21" s="162">
        <v>2195</v>
      </c>
      <c r="C21" s="91">
        <f t="shared" si="0"/>
        <v>-4.5029366978464269E-2</v>
      </c>
      <c r="D21" s="163">
        <v>17924.650000000001</v>
      </c>
      <c r="E21" s="94">
        <f t="shared" si="1"/>
        <v>9.9631301915267034E-2</v>
      </c>
      <c r="F21" s="163">
        <v>3165.75</v>
      </c>
      <c r="G21" s="91">
        <f t="shared" si="2"/>
        <v>0.17731828408858474</v>
      </c>
      <c r="H21" s="164">
        <v>26.9</v>
      </c>
      <c r="I21" s="1">
        <f t="shared" si="3"/>
        <v>0.59171597633136108</v>
      </c>
      <c r="J21" s="164">
        <v>489.35</v>
      </c>
      <c r="K21" s="91">
        <f t="shared" si="4"/>
        <v>8.6840644086618513E-2</v>
      </c>
      <c r="L21" s="164">
        <v>286.89999999999998</v>
      </c>
      <c r="M21" s="91">
        <f t="shared" si="5"/>
        <v>4.3842095688557237E-2</v>
      </c>
      <c r="N21" s="164">
        <v>194.85</v>
      </c>
      <c r="O21" s="91">
        <f t="shared" si="6"/>
        <v>0.14617647058823535</v>
      </c>
      <c r="P21" s="163">
        <v>2014.85</v>
      </c>
      <c r="Q21" s="91">
        <f t="shared" si="7"/>
        <v>0.10520830476399445</v>
      </c>
      <c r="R21" s="164">
        <v>406.3</v>
      </c>
      <c r="S21" s="91">
        <f t="shared" si="8"/>
        <v>0.10302701235238221</v>
      </c>
      <c r="T21" s="163">
        <v>1460.7</v>
      </c>
      <c r="U21" s="91">
        <f t="shared" si="9"/>
        <v>0.16580869148808808</v>
      </c>
      <c r="V21" s="163">
        <v>33717.620000000003</v>
      </c>
      <c r="W21" s="91">
        <f t="shared" si="10"/>
        <v>0.14419232203618182</v>
      </c>
    </row>
    <row r="22" spans="1:23" x14ac:dyDescent="0.2">
      <c r="A22" s="172">
        <v>202003</v>
      </c>
      <c r="B22" s="162">
        <v>2298.5</v>
      </c>
      <c r="C22" s="91">
        <f t="shared" si="0"/>
        <v>5.690309230946089E-2</v>
      </c>
      <c r="D22" s="163">
        <v>16300.6</v>
      </c>
      <c r="E22" s="94">
        <f t="shared" si="1"/>
        <v>3.3066414852793491E-2</v>
      </c>
      <c r="F22" s="163">
        <v>2688.95</v>
      </c>
      <c r="G22" s="91">
        <f t="shared" si="2"/>
        <v>-9.4690593226045339E-2</v>
      </c>
      <c r="H22" s="164">
        <v>16.899999999999999</v>
      </c>
      <c r="I22" s="1">
        <f t="shared" si="3"/>
        <v>0.37959183673469377</v>
      </c>
      <c r="J22" s="164">
        <v>450.25</v>
      </c>
      <c r="K22" s="91">
        <f t="shared" si="4"/>
        <v>-9.2329402277996242E-2</v>
      </c>
      <c r="L22" s="164">
        <v>274.85000000000002</v>
      </c>
      <c r="M22" s="91">
        <f t="shared" si="5"/>
        <v>-7.9383687824485016E-2</v>
      </c>
      <c r="N22" s="164">
        <v>170</v>
      </c>
      <c r="O22" s="91">
        <f t="shared" si="6"/>
        <v>-0.33710274907389348</v>
      </c>
      <c r="P22" s="163">
        <v>1823.05</v>
      </c>
      <c r="Q22" s="91">
        <f t="shared" si="7"/>
        <v>-8.8907768809815435E-2</v>
      </c>
      <c r="R22" s="164">
        <v>368.35</v>
      </c>
      <c r="S22" s="91">
        <f t="shared" si="8"/>
        <v>-0.20733806757047546</v>
      </c>
      <c r="T22" s="163">
        <v>1252.95</v>
      </c>
      <c r="U22" s="91">
        <f t="shared" si="9"/>
        <v>-2.4903692750690709E-2</v>
      </c>
      <c r="V22" s="163">
        <v>29468.49</v>
      </c>
      <c r="W22" s="91">
        <f t="shared" si="10"/>
        <v>-0.23053328316442234</v>
      </c>
    </row>
    <row r="23" spans="1:23" x14ac:dyDescent="0.2">
      <c r="A23" s="172">
        <v>202002</v>
      </c>
      <c r="B23" s="162">
        <v>2174.75</v>
      </c>
      <c r="C23" s="91">
        <f t="shared" si="0"/>
        <v>6.9067223792552479E-2</v>
      </c>
      <c r="D23" s="163">
        <v>15778.85</v>
      </c>
      <c r="E23" s="94">
        <f t="shared" si="1"/>
        <v>2.7305665241919463E-2</v>
      </c>
      <c r="F23" s="163">
        <v>2970.2</v>
      </c>
      <c r="G23" s="91">
        <f t="shared" si="2"/>
        <v>-7.2015496610116525E-2</v>
      </c>
      <c r="H23" s="164">
        <v>12.25</v>
      </c>
      <c r="I23" s="1">
        <f t="shared" si="3"/>
        <v>-4.743390357698285E-2</v>
      </c>
      <c r="J23" s="164">
        <v>496.05</v>
      </c>
      <c r="K23" s="91">
        <f t="shared" si="4"/>
        <v>1.0080645161303359E-4</v>
      </c>
      <c r="L23" s="164">
        <v>298.55</v>
      </c>
      <c r="M23" s="91">
        <f t="shared" si="5"/>
        <v>-5.2823604060913687E-2</v>
      </c>
      <c r="N23" s="164">
        <v>256.45</v>
      </c>
      <c r="O23" s="91">
        <f t="shared" si="6"/>
        <v>-0.12934985571210333</v>
      </c>
      <c r="P23" s="163">
        <v>2000.95</v>
      </c>
      <c r="Q23" s="91">
        <f t="shared" si="7"/>
        <v>-3.7680950319819217E-2</v>
      </c>
      <c r="R23" s="164">
        <v>464.7</v>
      </c>
      <c r="S23" s="91">
        <f t="shared" si="8"/>
        <v>-0.16906571300849349</v>
      </c>
      <c r="T23" s="163">
        <v>1284.95</v>
      </c>
      <c r="U23" s="91">
        <f t="shared" si="9"/>
        <v>-3.274492829989839E-2</v>
      </c>
      <c r="V23" s="163">
        <v>38297.29</v>
      </c>
      <c r="W23" s="91">
        <f t="shared" si="10"/>
        <v>-5.957740851778659E-2</v>
      </c>
    </row>
    <row r="24" spans="1:23" x14ac:dyDescent="0.2">
      <c r="A24" s="172">
        <v>202001</v>
      </c>
      <c r="B24" s="162">
        <v>2034.25</v>
      </c>
      <c r="C24" s="91">
        <f t="shared" si="0"/>
        <v>5.785231409256375E-2</v>
      </c>
      <c r="D24" s="163">
        <v>15359.45</v>
      </c>
      <c r="E24" s="94">
        <f t="shared" si="1"/>
        <v>3.8828975979601443E-2</v>
      </c>
      <c r="F24" s="163">
        <v>3200.7</v>
      </c>
      <c r="G24" s="91">
        <f t="shared" si="2"/>
        <v>5.7104168042803272E-2</v>
      </c>
      <c r="H24" s="164">
        <v>12.86</v>
      </c>
      <c r="I24" s="1">
        <f t="shared" si="3"/>
        <v>-1.228878648233489E-2</v>
      </c>
      <c r="J24" s="164">
        <v>496</v>
      </c>
      <c r="K24" s="91">
        <f t="shared" si="4"/>
        <v>8.2024432809773229E-2</v>
      </c>
      <c r="L24" s="164">
        <v>315.2</v>
      </c>
      <c r="M24" s="91">
        <f t="shared" si="5"/>
        <v>-7.7688368690563281E-2</v>
      </c>
      <c r="N24" s="164">
        <v>294.55</v>
      </c>
      <c r="O24" s="91">
        <f t="shared" si="6"/>
        <v>-4.9225306649451239E-2</v>
      </c>
      <c r="P24" s="163">
        <v>2079.3000000000002</v>
      </c>
      <c r="Q24" s="91">
        <f t="shared" si="7"/>
        <v>-3.7940128626289704E-2</v>
      </c>
      <c r="R24" s="164">
        <v>559.25</v>
      </c>
      <c r="S24" s="91">
        <f t="shared" si="8"/>
        <v>7.8592092574734762E-2</v>
      </c>
      <c r="T24" s="163">
        <v>1328.45</v>
      </c>
      <c r="U24" s="91">
        <f t="shared" si="9"/>
        <v>-9.041424169804857E-2</v>
      </c>
      <c r="V24" s="163">
        <v>40723.49</v>
      </c>
      <c r="W24" s="91">
        <f t="shared" si="10"/>
        <v>-1.285338008141812E-2</v>
      </c>
    </row>
    <row r="25" spans="1:23" x14ac:dyDescent="0.2">
      <c r="A25" s="172">
        <v>201912</v>
      </c>
      <c r="B25" s="162">
        <v>1923</v>
      </c>
      <c r="C25" s="91">
        <f t="shared" si="0"/>
        <v>-5.5176141109418708E-2</v>
      </c>
      <c r="D25" s="163">
        <v>14785.35</v>
      </c>
      <c r="E25" s="94">
        <f t="shared" si="1"/>
        <v>2.2927988542924327E-2</v>
      </c>
      <c r="F25" s="163">
        <v>3027.8</v>
      </c>
      <c r="G25" s="91">
        <f t="shared" si="2"/>
        <v>-9.778591751970267E-3</v>
      </c>
      <c r="H25" s="164">
        <v>13.02</v>
      </c>
      <c r="I25" s="1">
        <f t="shared" si="3"/>
        <v>-9.8961937716262938E-2</v>
      </c>
      <c r="J25" s="164">
        <v>458.4</v>
      </c>
      <c r="K25" s="91">
        <f t="shared" si="4"/>
        <v>-1.8508437670115008E-3</v>
      </c>
      <c r="L25" s="164">
        <v>341.75</v>
      </c>
      <c r="M25" s="91">
        <f t="shared" si="5"/>
        <v>-5.0298735584271337E-2</v>
      </c>
      <c r="N25" s="164">
        <v>309.8</v>
      </c>
      <c r="O25" s="91">
        <f t="shared" si="6"/>
        <v>-1.6664021583875588E-2</v>
      </c>
      <c r="P25" s="163">
        <v>2161.3000000000002</v>
      </c>
      <c r="Q25" s="91">
        <f t="shared" si="7"/>
        <v>5.290592877673328E-2</v>
      </c>
      <c r="R25" s="164">
        <v>518.5</v>
      </c>
      <c r="S25" s="91">
        <f t="shared" si="8"/>
        <v>4.8321876263647257E-2</v>
      </c>
      <c r="T25" s="163">
        <v>1460.5</v>
      </c>
      <c r="U25" s="91">
        <f t="shared" si="9"/>
        <v>-9.6290771004272635E-3</v>
      </c>
      <c r="V25" s="163">
        <v>41253.74</v>
      </c>
      <c r="W25" s="91">
        <f t="shared" si="10"/>
        <v>1.127450463685542E-2</v>
      </c>
    </row>
    <row r="26" spans="1:23" x14ac:dyDescent="0.2">
      <c r="A26" s="172">
        <v>201911</v>
      </c>
      <c r="B26" s="162">
        <v>2035.3</v>
      </c>
      <c r="C26" s="91">
        <f t="shared" si="0"/>
        <v>-6.4380444526168201E-2</v>
      </c>
      <c r="D26" s="163">
        <v>14453.95</v>
      </c>
      <c r="E26" s="94">
        <f t="shared" si="1"/>
        <v>-3.2986552485448573E-2</v>
      </c>
      <c r="F26" s="163">
        <v>3057.7</v>
      </c>
      <c r="G26" s="91">
        <f t="shared" si="2"/>
        <v>-6.3950284699687776E-2</v>
      </c>
      <c r="H26" s="164">
        <v>14.45</v>
      </c>
      <c r="I26" s="1">
        <f t="shared" si="3"/>
        <v>-0.17191977077363896</v>
      </c>
      <c r="J26" s="164">
        <v>459.25</v>
      </c>
      <c r="K26" s="91">
        <f t="shared" si="4"/>
        <v>-7.0270270270270663E-3</v>
      </c>
      <c r="L26" s="164">
        <v>359.85</v>
      </c>
      <c r="M26" s="91">
        <f t="shared" si="5"/>
        <v>-1.6937576833765844E-2</v>
      </c>
      <c r="N26" s="164">
        <v>315.05</v>
      </c>
      <c r="O26" s="91">
        <f t="shared" si="6"/>
        <v>-3.6544342507645267E-2</v>
      </c>
      <c r="P26" s="163">
        <v>2052.6999999999998</v>
      </c>
      <c r="Q26" s="91">
        <f t="shared" si="7"/>
        <v>-9.5806536868998315E-2</v>
      </c>
      <c r="R26" s="164">
        <v>494.6</v>
      </c>
      <c r="S26" s="91">
        <f t="shared" si="8"/>
        <v>-3.3323561028046456E-2</v>
      </c>
      <c r="T26" s="163">
        <v>1474.7</v>
      </c>
      <c r="U26" s="91">
        <f t="shared" si="9"/>
        <v>-4.7597520020666528E-2</v>
      </c>
      <c r="V26" s="163">
        <v>40793.81</v>
      </c>
      <c r="W26" s="91">
        <f t="shared" si="10"/>
        <v>1.6565555376965024E-2</v>
      </c>
    </row>
    <row r="27" spans="1:23" x14ac:dyDescent="0.2">
      <c r="A27" s="172">
        <v>201910</v>
      </c>
      <c r="B27" s="162">
        <v>2175.35</v>
      </c>
      <c r="C27" s="91">
        <f t="shared" si="0"/>
        <v>9.7580665506193265E-2</v>
      </c>
      <c r="D27" s="163">
        <v>14947</v>
      </c>
      <c r="E27" s="94">
        <f t="shared" si="1"/>
        <v>7.6125028348446477E-2</v>
      </c>
      <c r="F27" s="163">
        <v>3266.6</v>
      </c>
      <c r="G27" s="91">
        <f t="shared" si="2"/>
        <v>0.10952227298201511</v>
      </c>
      <c r="H27" s="164">
        <v>17.45</v>
      </c>
      <c r="I27" s="1">
        <f t="shared" si="3"/>
        <v>2.0467836257309857E-2</v>
      </c>
      <c r="J27" s="164">
        <v>462.5</v>
      </c>
      <c r="K27" s="91">
        <f t="shared" si="4"/>
        <v>3.4328525103432872E-2</v>
      </c>
      <c r="L27" s="164">
        <v>366.05</v>
      </c>
      <c r="M27" s="91">
        <f t="shared" si="5"/>
        <v>-7.1174828723674199E-2</v>
      </c>
      <c r="N27" s="164">
        <v>327</v>
      </c>
      <c r="O27" s="91">
        <f t="shared" si="6"/>
        <v>2.7655562539283585E-2</v>
      </c>
      <c r="P27" s="163">
        <v>2270.1999999999998</v>
      </c>
      <c r="Q27" s="91">
        <f t="shared" si="7"/>
        <v>8.1459603658536661E-2</v>
      </c>
      <c r="R27" s="164">
        <v>511.65</v>
      </c>
      <c r="S27" s="91">
        <f t="shared" si="8"/>
        <v>6.8385884318229229E-2</v>
      </c>
      <c r="T27" s="163">
        <v>1548.4</v>
      </c>
      <c r="U27" s="91">
        <f t="shared" si="9"/>
        <v>2.8803029799674418E-2</v>
      </c>
      <c r="V27" s="163">
        <v>40129.050000000003</v>
      </c>
      <c r="W27" s="91">
        <f t="shared" si="10"/>
        <v>3.7802454940643715E-2</v>
      </c>
    </row>
    <row r="28" spans="1:23" x14ac:dyDescent="0.2">
      <c r="A28" s="172">
        <v>201909</v>
      </c>
      <c r="B28" s="162">
        <v>1981.95</v>
      </c>
      <c r="C28" s="91">
        <f t="shared" si="0"/>
        <v>5.3164355172963473E-2</v>
      </c>
      <c r="D28" s="163">
        <v>13889.65</v>
      </c>
      <c r="E28" s="94">
        <f t="shared" si="1"/>
        <v>7.8791009071703666E-2</v>
      </c>
      <c r="F28" s="163">
        <v>2944.15</v>
      </c>
      <c r="G28" s="91">
        <f t="shared" si="2"/>
        <v>8.9759961505006203E-2</v>
      </c>
      <c r="H28" s="164">
        <v>17.100000000000001</v>
      </c>
      <c r="I28" s="1">
        <f t="shared" si="3"/>
        <v>-0.19718309859154926</v>
      </c>
      <c r="J28" s="164">
        <v>447.15</v>
      </c>
      <c r="K28" s="91">
        <f t="shared" si="4"/>
        <v>-4.2311546598374772E-3</v>
      </c>
      <c r="L28" s="164">
        <v>394.1</v>
      </c>
      <c r="M28" s="91">
        <f t="shared" si="5"/>
        <v>7.9283887468031278E-3</v>
      </c>
      <c r="N28" s="164">
        <v>318.2</v>
      </c>
      <c r="O28" s="91">
        <f t="shared" si="6"/>
        <v>7.0299360914900744E-2</v>
      </c>
      <c r="P28" s="163">
        <v>2099.1999999999998</v>
      </c>
      <c r="Q28" s="91">
        <f t="shared" si="7"/>
        <v>-7.0348309381988994E-2</v>
      </c>
      <c r="R28" s="164">
        <v>478.9</v>
      </c>
      <c r="S28" s="91">
        <f t="shared" si="8"/>
        <v>6.611754229741762E-2</v>
      </c>
      <c r="T28" s="163">
        <v>1505.05</v>
      </c>
      <c r="U28" s="91">
        <f t="shared" si="9"/>
        <v>0.18103346804253162</v>
      </c>
      <c r="V28" s="163">
        <v>38667.33</v>
      </c>
      <c r="W28" s="91">
        <f t="shared" si="10"/>
        <v>3.5747127391229094E-2</v>
      </c>
    </row>
    <row r="29" spans="1:23" x14ac:dyDescent="0.2">
      <c r="A29" s="172">
        <v>201908</v>
      </c>
      <c r="B29" s="162">
        <v>1881.9</v>
      </c>
      <c r="C29" s="91">
        <f t="shared" si="0"/>
        <v>8.9913995308835037E-2</v>
      </c>
      <c r="D29" s="163">
        <v>12875.2</v>
      </c>
      <c r="E29" s="94">
        <f t="shared" si="1"/>
        <v>0.10271585059824084</v>
      </c>
      <c r="F29" s="163">
        <v>2701.65</v>
      </c>
      <c r="G29" s="91">
        <f t="shared" si="2"/>
        <v>3.7101727447216959E-2</v>
      </c>
      <c r="H29" s="164">
        <v>21.3</v>
      </c>
      <c r="I29" s="1">
        <f t="shared" si="3"/>
        <v>0.34384858044164046</v>
      </c>
      <c r="J29" s="164">
        <v>449.05</v>
      </c>
      <c r="K29" s="91">
        <f t="shared" si="4"/>
        <v>5.2255418863503156E-2</v>
      </c>
      <c r="L29" s="164">
        <v>391</v>
      </c>
      <c r="M29" s="91">
        <f t="shared" si="5"/>
        <v>6.5104876055570582E-2</v>
      </c>
      <c r="N29" s="164">
        <v>297.3</v>
      </c>
      <c r="O29" s="91">
        <f t="shared" si="6"/>
        <v>-7.0356472795497171E-2</v>
      </c>
      <c r="P29" s="163">
        <v>2258.0500000000002</v>
      </c>
      <c r="Q29" s="91">
        <f t="shared" si="7"/>
        <v>2.3873220277500717E-2</v>
      </c>
      <c r="R29" s="164">
        <v>449.2</v>
      </c>
      <c r="S29" s="91">
        <f t="shared" si="8"/>
        <v>3.2999885017822139E-2</v>
      </c>
      <c r="T29" s="163">
        <v>1274.3499999999999</v>
      </c>
      <c r="U29" s="91">
        <f t="shared" si="9"/>
        <v>7.0432591348172924E-2</v>
      </c>
      <c r="V29" s="163">
        <v>37332.79</v>
      </c>
      <c r="W29" s="91">
        <f t="shared" si="10"/>
        <v>-3.9574591154160066E-3</v>
      </c>
    </row>
    <row r="30" spans="1:23" x14ac:dyDescent="0.2">
      <c r="A30" s="172">
        <v>201907</v>
      </c>
      <c r="B30" s="162">
        <v>1726.65</v>
      </c>
      <c r="C30" s="91">
        <f t="shared" si="0"/>
        <v>-3.4095994629670945E-2</v>
      </c>
      <c r="D30" s="163">
        <v>11675.9</v>
      </c>
      <c r="E30" s="94">
        <f t="shared" si="1"/>
        <v>-1.9869717777815099E-2</v>
      </c>
      <c r="F30" s="163">
        <v>2605</v>
      </c>
      <c r="G30" s="91">
        <f t="shared" si="2"/>
        <v>-5.0552174071509248E-2</v>
      </c>
      <c r="H30" s="164">
        <v>15.85</v>
      </c>
      <c r="I30" s="1">
        <f t="shared" si="3"/>
        <v>-0.32980972515856233</v>
      </c>
      <c r="J30" s="164">
        <v>426.75</v>
      </c>
      <c r="K30" s="91">
        <f t="shared" si="4"/>
        <v>6.5543071161048738E-2</v>
      </c>
      <c r="L30" s="164">
        <v>367.1</v>
      </c>
      <c r="M30" s="91">
        <f t="shared" si="5"/>
        <v>-8.5077650236325963E-3</v>
      </c>
      <c r="N30" s="164">
        <v>319.8</v>
      </c>
      <c r="O30" s="91">
        <f t="shared" si="6"/>
        <v>7.0639437562772134E-2</v>
      </c>
      <c r="P30" s="163">
        <v>2205.4</v>
      </c>
      <c r="Q30" s="91">
        <f t="shared" si="7"/>
        <v>-9.8103041867774188E-3</v>
      </c>
      <c r="R30" s="164">
        <v>434.85</v>
      </c>
      <c r="S30" s="91">
        <f t="shared" si="8"/>
        <v>-0.13307416267942584</v>
      </c>
      <c r="T30" s="163">
        <v>1190.5</v>
      </c>
      <c r="U30" s="91">
        <f t="shared" si="9"/>
        <v>5.6063159762263837E-2</v>
      </c>
      <c r="V30" s="163">
        <v>37481.120000000003</v>
      </c>
      <c r="W30" s="91">
        <f t="shared" si="10"/>
        <v>-4.8573105376771952E-2</v>
      </c>
    </row>
    <row r="31" spans="1:23" x14ac:dyDescent="0.2">
      <c r="A31" s="172">
        <v>201906</v>
      </c>
      <c r="B31" s="162">
        <v>1787.6</v>
      </c>
      <c r="C31" s="91">
        <f t="shared" si="0"/>
        <v>-5.0321498462402303E-4</v>
      </c>
      <c r="D31" s="163">
        <v>11912.6</v>
      </c>
      <c r="E31" s="94">
        <f t="shared" si="1"/>
        <v>3.6049434254355139E-2</v>
      </c>
      <c r="F31" s="163">
        <v>2743.7</v>
      </c>
      <c r="G31" s="91">
        <f t="shared" si="2"/>
        <v>-6.1003781721110872E-2</v>
      </c>
      <c r="H31" s="164">
        <v>23.65</v>
      </c>
      <c r="I31" s="1">
        <f t="shared" si="3"/>
        <v>-0.29402985074626875</v>
      </c>
      <c r="J31" s="164">
        <v>400.5</v>
      </c>
      <c r="K31" s="91">
        <f t="shared" si="4"/>
        <v>9.070294784580657E-3</v>
      </c>
      <c r="L31" s="164">
        <v>370.25</v>
      </c>
      <c r="M31" s="91">
        <f t="shared" si="5"/>
        <v>-4.4366765259478136E-3</v>
      </c>
      <c r="N31" s="164">
        <v>298.7</v>
      </c>
      <c r="O31" s="91">
        <f t="shared" si="6"/>
        <v>-0.14043165467625907</v>
      </c>
      <c r="P31" s="163">
        <v>2227.25</v>
      </c>
      <c r="Q31" s="91">
        <f t="shared" si="7"/>
        <v>1.3837995311468676E-2</v>
      </c>
      <c r="R31" s="164">
        <v>501.6</v>
      </c>
      <c r="S31" s="91">
        <f t="shared" si="8"/>
        <v>-1.4247813697553346E-2</v>
      </c>
      <c r="T31" s="163">
        <v>1127.3</v>
      </c>
      <c r="U31" s="91">
        <f t="shared" si="9"/>
        <v>-2.152590920927E-2</v>
      </c>
      <c r="V31" s="163">
        <v>39394.639999999999</v>
      </c>
      <c r="W31" s="91">
        <f t="shared" si="10"/>
        <v>-8.0464921866737482E-3</v>
      </c>
    </row>
    <row r="32" spans="1:23" x14ac:dyDescent="0.2">
      <c r="A32" s="172">
        <v>201905</v>
      </c>
      <c r="B32" s="162">
        <v>1788.5</v>
      </c>
      <c r="C32" s="91">
        <f t="shared" si="0"/>
        <v>1.7522899243329393E-2</v>
      </c>
      <c r="D32" s="163">
        <v>11498.1</v>
      </c>
      <c r="E32" s="94">
        <f t="shared" si="1"/>
        <v>5.4358889714175795E-2</v>
      </c>
      <c r="F32" s="163">
        <v>2921.95</v>
      </c>
      <c r="G32" s="91">
        <f t="shared" si="2"/>
        <v>8.9432157593962724E-3</v>
      </c>
      <c r="H32" s="164">
        <v>33.5</v>
      </c>
      <c r="I32" s="1">
        <f t="shared" si="3"/>
        <v>0.23207061419639574</v>
      </c>
      <c r="J32" s="164">
        <v>396.9</v>
      </c>
      <c r="K32" s="91">
        <f t="shared" si="4"/>
        <v>-2.7638190954774045E-3</v>
      </c>
      <c r="L32" s="164">
        <v>371.9</v>
      </c>
      <c r="M32" s="91">
        <f t="shared" si="5"/>
        <v>3.7812194781637887E-2</v>
      </c>
      <c r="N32" s="164">
        <v>347.5</v>
      </c>
      <c r="O32" s="91">
        <f t="shared" si="6"/>
        <v>-0.10078923534739292</v>
      </c>
      <c r="P32" s="163">
        <v>2196.85</v>
      </c>
      <c r="Q32" s="91">
        <f t="shared" si="7"/>
        <v>-2.5765538038537428E-2</v>
      </c>
      <c r="R32" s="164">
        <v>508.85</v>
      </c>
      <c r="S32" s="91">
        <f t="shared" si="8"/>
        <v>-1.7189763399323987E-2</v>
      </c>
      <c r="T32" s="163">
        <v>1152.0999999999999</v>
      </c>
      <c r="U32" s="91">
        <f t="shared" si="9"/>
        <v>-4.5840407470288724E-2</v>
      </c>
      <c r="V32" s="163">
        <v>39714.199999999997</v>
      </c>
      <c r="W32" s="91">
        <f t="shared" si="10"/>
        <v>1.7489697437073293E-2</v>
      </c>
    </row>
    <row r="33" spans="1:23" x14ac:dyDescent="0.2">
      <c r="A33" s="172">
        <v>201904</v>
      </c>
      <c r="B33" s="162">
        <v>1757.7</v>
      </c>
      <c r="C33" s="91">
        <f t="shared" si="0"/>
        <v>2.9821888914928651E-2</v>
      </c>
      <c r="D33" s="163">
        <v>10905.3</v>
      </c>
      <c r="E33" s="94">
        <f t="shared" si="1"/>
        <v>-5.0771146661559019E-3</v>
      </c>
      <c r="F33" s="163">
        <v>2896.05</v>
      </c>
      <c r="G33" s="91">
        <f t="shared" si="2"/>
        <v>-6.1400097228974215E-2</v>
      </c>
      <c r="H33" s="164">
        <v>27.19</v>
      </c>
      <c r="I33" s="1">
        <f t="shared" si="3"/>
        <v>0.93937232524964354</v>
      </c>
      <c r="J33" s="164">
        <v>398</v>
      </c>
      <c r="K33" s="91">
        <f t="shared" si="4"/>
        <v>-2.7013812492360345E-2</v>
      </c>
      <c r="L33" s="164">
        <v>358.35</v>
      </c>
      <c r="M33" s="91">
        <f t="shared" si="5"/>
        <v>3.7943519188993635E-2</v>
      </c>
      <c r="N33" s="164">
        <v>386.45</v>
      </c>
      <c r="O33" s="91">
        <f t="shared" si="6"/>
        <v>-3.3874999999999988E-2</v>
      </c>
      <c r="P33" s="163">
        <v>2254.9499999999998</v>
      </c>
      <c r="Q33" s="91">
        <f t="shared" si="7"/>
        <v>0.12724955008998196</v>
      </c>
      <c r="R33" s="164">
        <v>517.75</v>
      </c>
      <c r="S33" s="91">
        <f t="shared" si="8"/>
        <v>1.6791044776119479E-2</v>
      </c>
      <c r="T33" s="163">
        <v>1207.45</v>
      </c>
      <c r="U33" s="91">
        <f t="shared" si="9"/>
        <v>-4.0526043942945678E-2</v>
      </c>
      <c r="V33" s="163">
        <v>39031.550000000003</v>
      </c>
      <c r="W33" s="91">
        <f t="shared" si="10"/>
        <v>9.2736750350568276E-3</v>
      </c>
    </row>
    <row r="34" spans="1:23" x14ac:dyDescent="0.2">
      <c r="A34" s="172">
        <v>201903</v>
      </c>
      <c r="B34" s="162">
        <v>1706.8</v>
      </c>
      <c r="C34" s="91">
        <f t="shared" si="0"/>
        <v>-1.4919343202608792E-2</v>
      </c>
      <c r="D34" s="163">
        <v>10960.95</v>
      </c>
      <c r="E34" s="94">
        <f t="shared" si="1"/>
        <v>3.0188679245283012E-2</v>
      </c>
      <c r="F34" s="163">
        <v>3085.5</v>
      </c>
      <c r="G34" s="91">
        <f t="shared" si="2"/>
        <v>9.3558834112990041E-3</v>
      </c>
      <c r="H34" s="164">
        <v>14.02</v>
      </c>
      <c r="I34" s="1">
        <f t="shared" si="3"/>
        <v>0.45284974093264241</v>
      </c>
      <c r="J34" s="164">
        <v>409.05</v>
      </c>
      <c r="K34" s="91">
        <f t="shared" si="4"/>
        <v>-6.7160775370581516E-2</v>
      </c>
      <c r="L34" s="164">
        <v>345.25</v>
      </c>
      <c r="M34" s="91">
        <f t="shared" si="5"/>
        <v>1.6637220259128283E-2</v>
      </c>
      <c r="N34" s="164">
        <v>400</v>
      </c>
      <c r="O34" s="91">
        <f t="shared" si="6"/>
        <v>2.0408163265306145E-2</v>
      </c>
      <c r="P34" s="163">
        <v>2000.4</v>
      </c>
      <c r="Q34" s="91">
        <f t="shared" si="7"/>
        <v>8.1390953760867024E-3</v>
      </c>
      <c r="R34" s="164">
        <v>509.2</v>
      </c>
      <c r="S34" s="91">
        <f t="shared" si="8"/>
        <v>5.8187863674147966E-2</v>
      </c>
      <c r="T34" s="163">
        <v>1258.45</v>
      </c>
      <c r="U34" s="91">
        <f t="shared" si="9"/>
        <v>2.5492929695281052E-3</v>
      </c>
      <c r="V34" s="163">
        <v>38672.910000000003</v>
      </c>
      <c r="W34" s="91">
        <f t="shared" si="10"/>
        <v>7.8217737312727076E-2</v>
      </c>
    </row>
    <row r="35" spans="1:23" x14ac:dyDescent="0.2">
      <c r="A35" s="172">
        <v>201902</v>
      </c>
      <c r="B35" s="162">
        <v>1732.65</v>
      </c>
      <c r="C35" s="91">
        <f t="shared" si="0"/>
        <v>-1.7354317311782164E-2</v>
      </c>
      <c r="D35" s="163">
        <v>10639.75</v>
      </c>
      <c r="E35" s="94">
        <f t="shared" si="1"/>
        <v>-7.4631344120857368E-2</v>
      </c>
      <c r="F35" s="163">
        <v>3056.9</v>
      </c>
      <c r="G35" s="91">
        <f t="shared" si="2"/>
        <v>-4.4031647746817892E-2</v>
      </c>
      <c r="H35" s="164">
        <v>9.65</v>
      </c>
      <c r="I35" s="1">
        <f t="shared" si="3"/>
        <v>-0.10232558139534875</v>
      </c>
      <c r="J35" s="164">
        <v>438.5</v>
      </c>
      <c r="K35" s="91">
        <f t="shared" si="4"/>
        <v>-1.0716300056401562E-2</v>
      </c>
      <c r="L35" s="164">
        <v>339.6</v>
      </c>
      <c r="M35" s="91">
        <f t="shared" si="5"/>
        <v>-7.3776080730942217E-2</v>
      </c>
      <c r="N35" s="164">
        <v>392</v>
      </c>
      <c r="O35" s="91">
        <f t="shared" si="6"/>
        <v>-4.6228710462287159E-2</v>
      </c>
      <c r="P35" s="163">
        <v>1984.25</v>
      </c>
      <c r="Q35" s="91">
        <f t="shared" si="7"/>
        <v>-1.5065025315199043E-2</v>
      </c>
      <c r="R35" s="164">
        <v>481.2</v>
      </c>
      <c r="S35" s="91">
        <f t="shared" si="8"/>
        <v>-3.0522816560894617E-2</v>
      </c>
      <c r="T35" s="163">
        <v>1255.25</v>
      </c>
      <c r="U35" s="91">
        <f t="shared" si="9"/>
        <v>-1.9067713827999877E-2</v>
      </c>
      <c r="V35" s="163">
        <v>35867.440000000002</v>
      </c>
      <c r="W35" s="91">
        <f t="shared" si="10"/>
        <v>-1.0735949696455971E-2</v>
      </c>
    </row>
    <row r="36" spans="1:23" x14ac:dyDescent="0.2">
      <c r="A36" s="172">
        <v>201901</v>
      </c>
      <c r="B36" s="162">
        <v>1763.25</v>
      </c>
      <c r="C36" s="91">
        <f t="shared" si="0"/>
        <v>-3.0994971560464935E-2</v>
      </c>
      <c r="D36" s="163">
        <v>11497.85</v>
      </c>
      <c r="E36" s="94">
        <f t="shared" si="1"/>
        <v>3.7258059423447287E-2</v>
      </c>
      <c r="F36" s="163">
        <v>3197.7</v>
      </c>
      <c r="G36" s="91">
        <f t="shared" si="2"/>
        <v>2.6417153495538193E-2</v>
      </c>
      <c r="H36" s="164">
        <v>10.75</v>
      </c>
      <c r="I36" s="1">
        <f t="shared" si="3"/>
        <v>0.78571428571428581</v>
      </c>
      <c r="J36" s="164">
        <v>443.25</v>
      </c>
      <c r="K36" s="91">
        <f t="shared" si="4"/>
        <v>2.8422273781902652E-2</v>
      </c>
      <c r="L36" s="164">
        <v>366.65</v>
      </c>
      <c r="M36" s="91">
        <f t="shared" si="5"/>
        <v>-2.0830551475497394E-2</v>
      </c>
      <c r="N36" s="164">
        <v>411</v>
      </c>
      <c r="O36" s="91">
        <f t="shared" si="6"/>
        <v>-1.7216642754662836E-2</v>
      </c>
      <c r="P36" s="163">
        <v>2014.6</v>
      </c>
      <c r="Q36" s="91">
        <f t="shared" si="7"/>
        <v>6.3927543502944273E-2</v>
      </c>
      <c r="R36" s="164">
        <v>496.35</v>
      </c>
      <c r="S36" s="91">
        <f t="shared" si="8"/>
        <v>-1.4689826302729525E-2</v>
      </c>
      <c r="T36" s="163">
        <v>1279.6500000000001</v>
      </c>
      <c r="U36" s="91">
        <f t="shared" si="9"/>
        <v>-4.6176207513416667E-2</v>
      </c>
      <c r="V36" s="163">
        <v>36256.69</v>
      </c>
      <c r="W36" s="91">
        <f t="shared" si="10"/>
        <v>5.2223099877370949E-3</v>
      </c>
    </row>
    <row r="37" spans="1:23" x14ac:dyDescent="0.2">
      <c r="A37" s="172">
        <v>201812</v>
      </c>
      <c r="B37" s="162">
        <v>1819.65</v>
      </c>
      <c r="C37" s="91">
        <f t="shared" si="0"/>
        <v>3.7428734321550694E-2</v>
      </c>
      <c r="D37" s="163">
        <v>11084.85</v>
      </c>
      <c r="E37" s="94">
        <f t="shared" si="1"/>
        <v>2.9726377980185514E-2</v>
      </c>
      <c r="F37" s="163">
        <v>3115.4</v>
      </c>
      <c r="G37" s="91">
        <f t="shared" si="2"/>
        <v>-1.7146462654783479E-2</v>
      </c>
      <c r="H37" s="164">
        <v>6.02</v>
      </c>
      <c r="I37" s="1">
        <f t="shared" si="3"/>
        <v>2.3809523809523725E-2</v>
      </c>
      <c r="J37" s="164">
        <v>431</v>
      </c>
      <c r="K37" s="91">
        <f t="shared" si="4"/>
        <v>4.9683390160740304E-2</v>
      </c>
      <c r="L37" s="164">
        <v>374.45</v>
      </c>
      <c r="M37" s="91">
        <f t="shared" si="5"/>
        <v>5.1825842696629154E-2</v>
      </c>
      <c r="N37" s="164">
        <v>418.2</v>
      </c>
      <c r="O37" s="91">
        <f t="shared" si="6"/>
        <v>-4.531446181942711E-2</v>
      </c>
      <c r="P37" s="163">
        <v>1893.55</v>
      </c>
      <c r="Q37" s="91">
        <f t="shared" si="7"/>
        <v>-3.9099766568557737E-2</v>
      </c>
      <c r="R37" s="164">
        <v>503.75</v>
      </c>
      <c r="S37" s="91">
        <f t="shared" si="8"/>
        <v>1.2155917219208279E-2</v>
      </c>
      <c r="T37" s="163">
        <v>1341.6</v>
      </c>
      <c r="U37" s="91">
        <f t="shared" si="9"/>
        <v>0.10215650030807133</v>
      </c>
      <c r="V37" s="163">
        <v>36068.33</v>
      </c>
      <c r="W37" s="91">
        <f t="shared" si="10"/>
        <v>-3.4803822701364728E-3</v>
      </c>
    </row>
    <row r="38" spans="1:23" x14ac:dyDescent="0.2">
      <c r="A38" s="172">
        <v>201811</v>
      </c>
      <c r="B38" s="162">
        <v>1754</v>
      </c>
      <c r="C38" s="91">
        <f t="shared" si="0"/>
        <v>8.1581056915582373E-2</v>
      </c>
      <c r="D38" s="163">
        <v>10764.85</v>
      </c>
      <c r="E38" s="94">
        <f t="shared" si="1"/>
        <v>6.0801056381400986E-2</v>
      </c>
      <c r="F38" s="163">
        <v>3169.75</v>
      </c>
      <c r="G38" s="91">
        <f t="shared" si="2"/>
        <v>0.12320830601867439</v>
      </c>
      <c r="H38" s="164">
        <v>5.88</v>
      </c>
      <c r="I38" s="1">
        <f t="shared" si="3"/>
        <v>-3.4482758620689613E-2</v>
      </c>
      <c r="J38" s="164">
        <v>410.6</v>
      </c>
      <c r="K38" s="91">
        <f t="shared" si="4"/>
        <v>6.5386611312921783E-2</v>
      </c>
      <c r="L38" s="164">
        <v>356</v>
      </c>
      <c r="M38" s="91">
        <f t="shared" si="5"/>
        <v>0.11336982017200947</v>
      </c>
      <c r="N38" s="164">
        <v>438.05</v>
      </c>
      <c r="O38" s="91">
        <f t="shared" si="6"/>
        <v>0.10870665654264733</v>
      </c>
      <c r="P38" s="163">
        <v>1970.6</v>
      </c>
      <c r="Q38" s="91">
        <f t="shared" si="7"/>
        <v>1.7031379025598703E-2</v>
      </c>
      <c r="R38" s="164">
        <v>497.7</v>
      </c>
      <c r="S38" s="91">
        <f t="shared" si="8"/>
        <v>-4.982817869415801E-2</v>
      </c>
      <c r="T38" s="163">
        <v>1217.25</v>
      </c>
      <c r="U38" s="91">
        <f t="shared" si="9"/>
        <v>8.9846897663174774E-2</v>
      </c>
      <c r="V38" s="163">
        <v>36194.300000000003</v>
      </c>
      <c r="W38" s="91">
        <f t="shared" si="10"/>
        <v>5.0875310848221833E-2</v>
      </c>
    </row>
    <row r="39" spans="1:23" x14ac:dyDescent="0.2">
      <c r="A39" s="172">
        <v>201810</v>
      </c>
      <c r="B39" s="162">
        <v>1621.7</v>
      </c>
      <c r="C39" s="91">
        <f t="shared" si="0"/>
        <v>8.26908729171838E-3</v>
      </c>
      <c r="D39" s="163">
        <v>10147.85</v>
      </c>
      <c r="E39" s="94">
        <f t="shared" si="1"/>
        <v>4.6207852860670418E-2</v>
      </c>
      <c r="F39" s="163">
        <v>2822.05</v>
      </c>
      <c r="G39" s="91">
        <f t="shared" si="2"/>
        <v>-3.0806216193011049E-2</v>
      </c>
      <c r="H39" s="164">
        <v>6.09</v>
      </c>
      <c r="I39" s="1">
        <f t="shared" si="3"/>
        <v>-0.18800000000000006</v>
      </c>
      <c r="J39" s="164">
        <v>385.4</v>
      </c>
      <c r="K39" s="91">
        <f t="shared" si="4"/>
        <v>-9.8690364826941157E-2</v>
      </c>
      <c r="L39" s="164">
        <v>319.75</v>
      </c>
      <c r="M39" s="91">
        <f t="shared" si="5"/>
        <v>-3.950135175728442E-2</v>
      </c>
      <c r="N39" s="164">
        <v>395.1</v>
      </c>
      <c r="O39" s="91">
        <f t="shared" si="6"/>
        <v>-0.199148677409547</v>
      </c>
      <c r="P39" s="163">
        <v>1937.6</v>
      </c>
      <c r="Q39" s="91">
        <f t="shared" si="7"/>
        <v>-0.11302357518883044</v>
      </c>
      <c r="R39" s="164">
        <v>523.79999999999995</v>
      </c>
      <c r="S39" s="91">
        <f t="shared" si="8"/>
        <v>2.3546653639472392E-2</v>
      </c>
      <c r="T39" s="163">
        <v>1116.9000000000001</v>
      </c>
      <c r="U39" s="91">
        <f t="shared" si="9"/>
        <v>2.9400921658986334E-2</v>
      </c>
      <c r="V39" s="163">
        <v>34442.050000000003</v>
      </c>
      <c r="W39" s="91">
        <f t="shared" si="10"/>
        <v>-4.9274935863002023E-2</v>
      </c>
    </row>
    <row r="40" spans="1:23" x14ac:dyDescent="0.2">
      <c r="A40" s="172">
        <v>201809</v>
      </c>
      <c r="B40" s="162">
        <v>1608.4</v>
      </c>
      <c r="C40" s="91">
        <f t="shared" si="0"/>
        <v>-9.6455255322734579E-2</v>
      </c>
      <c r="D40" s="163">
        <v>9699.65</v>
      </c>
      <c r="E40" s="94">
        <f t="shared" si="1"/>
        <v>-0.16254182045802845</v>
      </c>
      <c r="F40" s="163">
        <v>2911.75</v>
      </c>
      <c r="G40" s="91">
        <f t="shared" si="2"/>
        <v>-0.13556368343239189</v>
      </c>
      <c r="H40" s="164">
        <v>7.5</v>
      </c>
      <c r="I40" s="1">
        <f t="shared" si="3"/>
        <v>-0.15349887133182838</v>
      </c>
      <c r="J40" s="164">
        <v>427.6</v>
      </c>
      <c r="K40" s="91">
        <f t="shared" si="4"/>
        <v>-0.10730688935281829</v>
      </c>
      <c r="L40" s="164">
        <v>332.9</v>
      </c>
      <c r="M40" s="91">
        <f t="shared" si="5"/>
        <v>-9.8686882360904393E-2</v>
      </c>
      <c r="N40" s="164">
        <v>493.35</v>
      </c>
      <c r="O40" s="91">
        <f t="shared" si="6"/>
        <v>-0.1282798833819242</v>
      </c>
      <c r="P40" s="163">
        <v>2184.5</v>
      </c>
      <c r="Q40" s="91">
        <f t="shared" si="7"/>
        <v>5.1150033682995089E-2</v>
      </c>
      <c r="R40" s="164">
        <v>511.75</v>
      </c>
      <c r="S40" s="91">
        <f t="shared" si="8"/>
        <v>-0.12266415223727067</v>
      </c>
      <c r="T40" s="163">
        <v>1085</v>
      </c>
      <c r="U40" s="91">
        <f t="shared" si="9"/>
        <v>-7.1339923824196405E-2</v>
      </c>
      <c r="V40" s="163">
        <v>36227.14</v>
      </c>
      <c r="W40" s="91">
        <f t="shared" si="10"/>
        <v>-6.2567618586277685E-2</v>
      </c>
    </row>
    <row r="41" spans="1:23" x14ac:dyDescent="0.2">
      <c r="A41" s="172">
        <v>201808</v>
      </c>
      <c r="B41" s="162">
        <v>1780.1</v>
      </c>
      <c r="C41" s="91">
        <f t="shared" si="0"/>
        <v>2.7979095082724559E-2</v>
      </c>
      <c r="D41" s="163">
        <v>11582.25</v>
      </c>
      <c r="E41" s="94">
        <f t="shared" si="1"/>
        <v>9.9886993846387551E-2</v>
      </c>
      <c r="F41" s="163">
        <v>3368.38</v>
      </c>
      <c r="G41" s="91">
        <f t="shared" si="2"/>
        <v>2.9739231451193948E-2</v>
      </c>
      <c r="H41" s="164">
        <v>8.86</v>
      </c>
      <c r="I41" s="1">
        <f t="shared" si="3"/>
        <v>-0.16018957345971574</v>
      </c>
      <c r="J41" s="164">
        <v>479</v>
      </c>
      <c r="K41" s="91">
        <f t="shared" si="4"/>
        <v>0.13979773944080898</v>
      </c>
      <c r="L41" s="164">
        <v>369.35</v>
      </c>
      <c r="M41" s="91">
        <f t="shared" si="5"/>
        <v>1.5674412209542243E-2</v>
      </c>
      <c r="N41" s="164">
        <v>565.95000000000005</v>
      </c>
      <c r="O41" s="91">
        <f t="shared" si="6"/>
        <v>-4.2790697674418565E-2</v>
      </c>
      <c r="P41" s="163">
        <v>2078.1999999999998</v>
      </c>
      <c r="Q41" s="91">
        <f t="shared" si="7"/>
        <v>7.0547327752736644E-2</v>
      </c>
      <c r="R41" s="164">
        <v>583.29999999999995</v>
      </c>
      <c r="S41" s="91">
        <f t="shared" si="8"/>
        <v>-6.8582834331337383E-2</v>
      </c>
      <c r="T41" s="163">
        <v>1168.3499999999999</v>
      </c>
      <c r="U41" s="91">
        <f t="shared" si="9"/>
        <v>2.3790746582544653E-2</v>
      </c>
      <c r="V41" s="163">
        <v>38645.07</v>
      </c>
      <c r="W41" s="91">
        <f t="shared" si="10"/>
        <v>2.7614582341707106E-2</v>
      </c>
    </row>
    <row r="42" spans="1:23" x14ac:dyDescent="0.2">
      <c r="A42" s="172">
        <v>201807</v>
      </c>
      <c r="B42" s="162">
        <v>1731.65</v>
      </c>
      <c r="C42" s="91">
        <f t="shared" si="0"/>
        <v>5.5144258599153062E-2</v>
      </c>
      <c r="D42" s="163">
        <v>10530.4</v>
      </c>
      <c r="E42" s="94">
        <f t="shared" si="1"/>
        <v>7.3424327988501625E-2</v>
      </c>
      <c r="F42" s="163">
        <v>3271.1</v>
      </c>
      <c r="G42" s="91">
        <f t="shared" si="2"/>
        <v>5.2856885364095163E-2</v>
      </c>
      <c r="H42" s="164">
        <v>10.55</v>
      </c>
      <c r="I42" s="1">
        <f t="shared" si="3"/>
        <v>-7.6990376202974553E-2</v>
      </c>
      <c r="J42" s="164">
        <v>420.25</v>
      </c>
      <c r="K42" s="91">
        <f t="shared" si="4"/>
        <v>7.5083141468406334E-2</v>
      </c>
      <c r="L42" s="164">
        <v>363.65</v>
      </c>
      <c r="M42" s="91">
        <f t="shared" si="5"/>
        <v>9.6321977690684291E-2</v>
      </c>
      <c r="N42" s="164">
        <v>591.25</v>
      </c>
      <c r="O42" s="91">
        <f t="shared" si="6"/>
        <v>0.12000378859632521</v>
      </c>
      <c r="P42" s="163">
        <v>1941.25</v>
      </c>
      <c r="Q42" s="91">
        <f t="shared" si="7"/>
        <v>5.0914898224339478E-2</v>
      </c>
      <c r="R42" s="164">
        <v>626.25</v>
      </c>
      <c r="S42" s="91">
        <f t="shared" si="8"/>
        <v>1.4416457439053953E-2</v>
      </c>
      <c r="T42" s="163">
        <v>1141.2</v>
      </c>
      <c r="U42" s="91">
        <f t="shared" si="9"/>
        <v>-3.5293123124392367E-2</v>
      </c>
      <c r="V42" s="163">
        <v>37606.58</v>
      </c>
      <c r="W42" s="91">
        <f t="shared" si="10"/>
        <v>6.1628614692853301E-2</v>
      </c>
    </row>
    <row r="43" spans="1:23" x14ac:dyDescent="0.2">
      <c r="A43" s="172">
        <v>201806</v>
      </c>
      <c r="B43" s="162">
        <v>1641.15</v>
      </c>
      <c r="C43" s="91">
        <f t="shared" si="0"/>
        <v>1.8430605975984449E-2</v>
      </c>
      <c r="D43" s="163">
        <v>9810.1</v>
      </c>
      <c r="E43" s="94">
        <f t="shared" si="1"/>
        <v>1.616946343484571E-2</v>
      </c>
      <c r="F43" s="163">
        <v>3106.88</v>
      </c>
      <c r="G43" s="91">
        <f t="shared" si="2"/>
        <v>4.8919979203100761E-2</v>
      </c>
      <c r="H43" s="164">
        <v>11.43</v>
      </c>
      <c r="I43" s="1">
        <f t="shared" si="3"/>
        <v>4.9586776859503967E-2</v>
      </c>
      <c r="J43" s="164">
        <v>390.9</v>
      </c>
      <c r="K43" s="91">
        <f t="shared" si="4"/>
        <v>1.8631921824104225E-2</v>
      </c>
      <c r="L43" s="164">
        <v>331.7</v>
      </c>
      <c r="M43" s="91">
        <f t="shared" si="5"/>
        <v>2.9644575508303683E-2</v>
      </c>
      <c r="N43" s="164">
        <v>527.9</v>
      </c>
      <c r="O43" s="91">
        <f t="shared" si="6"/>
        <v>7.9621178851696506E-3</v>
      </c>
      <c r="P43" s="163">
        <v>1847.2</v>
      </c>
      <c r="Q43" s="91">
        <f t="shared" si="7"/>
        <v>5.8688674919761707E-2</v>
      </c>
      <c r="R43" s="164">
        <v>617.35</v>
      </c>
      <c r="S43" s="91">
        <f t="shared" si="8"/>
        <v>-3.0467216332940694E-2</v>
      </c>
      <c r="T43" s="163">
        <v>1182.95</v>
      </c>
      <c r="U43" s="91">
        <f t="shared" si="9"/>
        <v>-5.2844389287001081E-2</v>
      </c>
      <c r="V43" s="163">
        <v>35423.480000000003</v>
      </c>
      <c r="W43" s="91">
        <f t="shared" si="10"/>
        <v>2.8622080392093352E-3</v>
      </c>
    </row>
    <row r="44" spans="1:23" x14ac:dyDescent="0.2">
      <c r="A44" s="172">
        <v>201805</v>
      </c>
      <c r="B44" s="162">
        <v>1611.45</v>
      </c>
      <c r="C44" s="91">
        <f t="shared" si="0"/>
        <v>6.7963417058784614E-2</v>
      </c>
      <c r="D44" s="163">
        <v>9654</v>
      </c>
      <c r="E44" s="94">
        <f t="shared" si="1"/>
        <v>2.7398353651074236E-2</v>
      </c>
      <c r="F44" s="163">
        <v>2961.98</v>
      </c>
      <c r="G44" s="91">
        <f t="shared" si="2"/>
        <v>7.4504824784154433E-2</v>
      </c>
      <c r="H44" s="164">
        <v>10.89</v>
      </c>
      <c r="I44" s="1">
        <f t="shared" si="3"/>
        <v>0.14631578947368418</v>
      </c>
      <c r="J44" s="164">
        <v>383.75</v>
      </c>
      <c r="K44" s="91">
        <f t="shared" si="4"/>
        <v>3.8003786854206245E-2</v>
      </c>
      <c r="L44" s="164">
        <v>322.14999999999998</v>
      </c>
      <c r="M44" s="91">
        <f t="shared" si="5"/>
        <v>-3.2146612588253132E-2</v>
      </c>
      <c r="N44" s="164">
        <v>523.73</v>
      </c>
      <c r="O44" s="91">
        <f t="shared" si="6"/>
        <v>-6.6933903438446407E-2</v>
      </c>
      <c r="P44" s="163">
        <v>1744.8</v>
      </c>
      <c r="Q44" s="91">
        <f t="shared" si="7"/>
        <v>-1.1836665345188901E-2</v>
      </c>
      <c r="R44" s="164">
        <v>636.75</v>
      </c>
      <c r="S44" s="91">
        <f t="shared" si="8"/>
        <v>-9.6039182282793845E-2</v>
      </c>
      <c r="T44" s="163">
        <v>1248.95</v>
      </c>
      <c r="U44" s="91">
        <f t="shared" si="9"/>
        <v>0.1110172130053817</v>
      </c>
      <c r="V44" s="163">
        <v>35322.379999999997</v>
      </c>
      <c r="W44" s="91">
        <f t="shared" si="10"/>
        <v>4.6080301794406697E-3</v>
      </c>
    </row>
    <row r="45" spans="1:23" x14ac:dyDescent="0.2">
      <c r="A45" s="172">
        <v>201804</v>
      </c>
      <c r="B45" s="162">
        <v>1508.9</v>
      </c>
      <c r="C45" s="91">
        <f t="shared" si="0"/>
        <v>0.13166085423932206</v>
      </c>
      <c r="D45" s="163">
        <v>9396.5499999999993</v>
      </c>
      <c r="E45" s="94">
        <f t="shared" si="1"/>
        <v>0.1454248465603305</v>
      </c>
      <c r="F45" s="163">
        <v>2756.6</v>
      </c>
      <c r="G45" s="91">
        <f t="shared" si="2"/>
        <v>0.10916187180622039</v>
      </c>
      <c r="H45" s="164">
        <v>9.5</v>
      </c>
      <c r="I45" s="1">
        <f t="shared" si="3"/>
        <v>-4.6184738955823423E-2</v>
      </c>
      <c r="J45" s="164">
        <v>369.7</v>
      </c>
      <c r="K45" s="91">
        <f t="shared" si="4"/>
        <v>0.13058103975535174</v>
      </c>
      <c r="L45" s="164">
        <v>332.85</v>
      </c>
      <c r="M45" s="91">
        <f t="shared" si="5"/>
        <v>2.0699172033118662E-2</v>
      </c>
      <c r="N45" s="164">
        <v>561.29999999999995</v>
      </c>
      <c r="O45" s="91">
        <f t="shared" si="6"/>
        <v>5.1123595505617958E-2</v>
      </c>
      <c r="P45" s="163">
        <v>1765.7</v>
      </c>
      <c r="Q45" s="91">
        <f t="shared" si="7"/>
        <v>0.23939213140069482</v>
      </c>
      <c r="R45" s="164">
        <v>704.4</v>
      </c>
      <c r="S45" s="91">
        <f t="shared" si="8"/>
        <v>0.10554814407910218</v>
      </c>
      <c r="T45" s="163">
        <v>1124.1500000000001</v>
      </c>
      <c r="U45" s="91">
        <f t="shared" si="9"/>
        <v>6.282499763638083E-2</v>
      </c>
      <c r="V45" s="163">
        <v>35160.36</v>
      </c>
      <c r="W45" s="91">
        <f t="shared" si="10"/>
        <v>6.6477638777166614E-2</v>
      </c>
    </row>
    <row r="46" spans="1:23" x14ac:dyDescent="0.2">
      <c r="A46" s="172">
        <v>201803</v>
      </c>
      <c r="B46" s="162">
        <v>1333.35</v>
      </c>
      <c r="C46" s="91">
        <f t="shared" si="0"/>
        <v>1.1838360842344908E-2</v>
      </c>
      <c r="D46" s="163">
        <v>8203.5499999999993</v>
      </c>
      <c r="E46" s="94">
        <f t="shared" si="1"/>
        <v>5.6933770525597005E-2</v>
      </c>
      <c r="F46" s="163">
        <v>2485.3000000000002</v>
      </c>
      <c r="G46" s="91">
        <f t="shared" si="2"/>
        <v>-4.7374385794892726E-3</v>
      </c>
      <c r="H46" s="164">
        <v>9.9600000000000009</v>
      </c>
      <c r="I46" s="1">
        <f t="shared" si="3"/>
        <v>-9.7008159564823115E-2</v>
      </c>
      <c r="J46" s="164">
        <v>327</v>
      </c>
      <c r="K46" s="91">
        <f t="shared" si="4"/>
        <v>5.9990770650668601E-3</v>
      </c>
      <c r="L46" s="164">
        <v>326.10000000000002</v>
      </c>
      <c r="M46" s="91">
        <f t="shared" si="5"/>
        <v>5.6194331983805634E-2</v>
      </c>
      <c r="N46" s="164">
        <v>534</v>
      </c>
      <c r="O46" s="91">
        <f t="shared" si="6"/>
        <v>-1.1897933127324456E-2</v>
      </c>
      <c r="P46" s="163">
        <v>1424.65</v>
      </c>
      <c r="Q46" s="91">
        <f t="shared" si="7"/>
        <v>-6.2193492327845545E-2</v>
      </c>
      <c r="R46" s="164">
        <v>637.15</v>
      </c>
      <c r="S46" s="91">
        <f t="shared" si="8"/>
        <v>5.2618536263010052E-2</v>
      </c>
      <c r="T46" s="163">
        <v>1057.7</v>
      </c>
      <c r="U46" s="91">
        <f t="shared" si="9"/>
        <v>1.6432827215068446E-2</v>
      </c>
      <c r="V46" s="163">
        <v>32968.68</v>
      </c>
      <c r="W46" s="91">
        <f t="shared" si="10"/>
        <v>-3.5553433707660065E-2</v>
      </c>
    </row>
    <row r="47" spans="1:23" x14ac:dyDescent="0.2">
      <c r="A47" s="172">
        <v>201802</v>
      </c>
      <c r="B47" s="162">
        <v>1317.75</v>
      </c>
      <c r="C47" s="91">
        <f t="shared" si="0"/>
        <v>-3.7682111950925523E-2</v>
      </c>
      <c r="D47" s="163">
        <v>7761.65</v>
      </c>
      <c r="E47" s="94">
        <f t="shared" si="1"/>
        <v>3.9161082586371965E-2</v>
      </c>
      <c r="F47" s="163">
        <v>2497.13</v>
      </c>
      <c r="G47" s="91">
        <f t="shared" si="2"/>
        <v>6.620183768274357E-2</v>
      </c>
      <c r="H47" s="164">
        <v>11.03</v>
      </c>
      <c r="I47" s="1">
        <f t="shared" si="3"/>
        <v>1.2855831037649201E-2</v>
      </c>
      <c r="J47" s="164">
        <v>325.05</v>
      </c>
      <c r="K47" s="91">
        <f t="shared" si="4"/>
        <v>-8.2686609284605694E-2</v>
      </c>
      <c r="L47" s="164">
        <v>308.75</v>
      </c>
      <c r="M47" s="91">
        <f t="shared" si="5"/>
        <v>-2.7454780361757525E-3</v>
      </c>
      <c r="N47" s="164">
        <v>540.42999999999995</v>
      </c>
      <c r="O47" s="91">
        <f t="shared" si="6"/>
        <v>-3.8688676224696739E-2</v>
      </c>
      <c r="P47" s="163">
        <v>1519.13</v>
      </c>
      <c r="Q47" s="91">
        <f t="shared" si="7"/>
        <v>-2.3620073527521379E-2</v>
      </c>
      <c r="R47" s="164">
        <v>605.29999999999995</v>
      </c>
      <c r="S47" s="91">
        <f t="shared" si="8"/>
        <v>6.007005253940445E-2</v>
      </c>
      <c r="T47" s="163">
        <v>1040.5999999999999</v>
      </c>
      <c r="U47" s="91">
        <f t="shared" si="9"/>
        <v>-7.126600919273518E-2</v>
      </c>
      <c r="V47" s="163">
        <v>34184.04</v>
      </c>
      <c r="W47" s="91">
        <f t="shared" si="10"/>
        <v>-4.9519783389526673E-2</v>
      </c>
    </row>
    <row r="48" spans="1:23" x14ac:dyDescent="0.2">
      <c r="A48" s="172">
        <v>201801</v>
      </c>
      <c r="B48" s="162">
        <v>1369.35</v>
      </c>
      <c r="C48" s="91">
        <f t="shared" si="0"/>
        <v>1.0966114705559526E-3</v>
      </c>
      <c r="D48" s="163">
        <v>7469.15</v>
      </c>
      <c r="E48" s="94">
        <f t="shared" si="1"/>
        <v>-5.1042447496474352E-2</v>
      </c>
      <c r="F48" s="163">
        <v>2342.08</v>
      </c>
      <c r="G48" s="91">
        <f t="shared" si="2"/>
        <v>-5.3299244467284179E-3</v>
      </c>
      <c r="H48" s="164">
        <v>10.89</v>
      </c>
      <c r="I48" s="1">
        <f t="shared" si="3"/>
        <v>-0.16101694915254239</v>
      </c>
      <c r="J48" s="164">
        <v>354.35</v>
      </c>
      <c r="K48" s="91">
        <f t="shared" si="4"/>
        <v>1.6494549627079858E-2</v>
      </c>
      <c r="L48" s="164">
        <v>309.60000000000002</v>
      </c>
      <c r="M48" s="91">
        <f t="shared" si="5"/>
        <v>-3.8957007605152749E-2</v>
      </c>
      <c r="N48" s="164">
        <v>562.17999999999995</v>
      </c>
      <c r="O48" s="91">
        <f t="shared" si="6"/>
        <v>-0.14327948796098766</v>
      </c>
      <c r="P48" s="163">
        <v>1555.88</v>
      </c>
      <c r="Q48" s="91">
        <f t="shared" si="7"/>
        <v>0.15233298770552506</v>
      </c>
      <c r="R48" s="164">
        <v>571</v>
      </c>
      <c r="S48" s="91">
        <f t="shared" si="8"/>
        <v>-1.4412703892293099E-2</v>
      </c>
      <c r="T48" s="163">
        <v>1120.45</v>
      </c>
      <c r="U48" s="91">
        <f t="shared" si="9"/>
        <v>2.2681635633442943E-2</v>
      </c>
      <c r="V48" s="163">
        <v>35965.019999999997</v>
      </c>
      <c r="W48" s="91">
        <f t="shared" si="10"/>
        <v>5.6029583493237389E-2</v>
      </c>
    </row>
    <row r="49" spans="1:23" x14ac:dyDescent="0.2">
      <c r="A49" s="172">
        <v>201712</v>
      </c>
      <c r="B49" s="162">
        <v>1367.85</v>
      </c>
      <c r="C49" s="91">
        <f t="shared" si="0"/>
        <v>7.4973476364493585E-2</v>
      </c>
      <c r="D49" s="163">
        <v>7870.9</v>
      </c>
      <c r="E49" s="94">
        <f t="shared" si="1"/>
        <v>2.7063352254191875E-2</v>
      </c>
      <c r="F49" s="163">
        <v>2354.63</v>
      </c>
      <c r="G49" s="91">
        <f t="shared" si="2"/>
        <v>-2.2082398870338138E-2</v>
      </c>
      <c r="H49" s="164">
        <v>12.98</v>
      </c>
      <c r="I49" s="1">
        <f t="shared" si="3"/>
        <v>3.0158730158730274E-2</v>
      </c>
      <c r="J49" s="164">
        <v>348.6</v>
      </c>
      <c r="K49" s="91">
        <f t="shared" si="4"/>
        <v>5.1903114186850896E-3</v>
      </c>
      <c r="L49" s="164">
        <v>322.14999999999998</v>
      </c>
      <c r="M49" s="91">
        <f t="shared" si="5"/>
        <v>5.3810925744193661E-2</v>
      </c>
      <c r="N49" s="164">
        <v>656.2</v>
      </c>
      <c r="O49" s="91">
        <f t="shared" si="6"/>
        <v>7.0904570428804714E-3</v>
      </c>
      <c r="P49" s="163">
        <v>1350.2</v>
      </c>
      <c r="Q49" s="91">
        <f t="shared" si="7"/>
        <v>2.5107620356380922E-2</v>
      </c>
      <c r="R49" s="164">
        <v>579.35</v>
      </c>
      <c r="S49" s="91">
        <f t="shared" si="8"/>
        <v>4.8597285067873308E-2</v>
      </c>
      <c r="T49" s="163">
        <v>1095.5999999999999</v>
      </c>
      <c r="U49" s="91">
        <f t="shared" si="9"/>
        <v>5.6509161041465639E-2</v>
      </c>
      <c r="V49" s="163">
        <v>34056.83</v>
      </c>
      <c r="W49" s="91">
        <f t="shared" si="10"/>
        <v>2.7375499067100906E-2</v>
      </c>
    </row>
    <row r="50" spans="1:23" x14ac:dyDescent="0.2">
      <c r="A50" s="172">
        <v>201711</v>
      </c>
      <c r="B50" s="162">
        <v>1272.45</v>
      </c>
      <c r="C50" s="91">
        <f t="shared" si="0"/>
        <v>2.8283971069538172E-2</v>
      </c>
      <c r="D50" s="163">
        <v>7663.5</v>
      </c>
      <c r="E50" s="94">
        <f t="shared" si="1"/>
        <v>5.8640696228760891E-2</v>
      </c>
      <c r="F50" s="163">
        <v>2407.8000000000002</v>
      </c>
      <c r="G50" s="91">
        <f t="shared" si="2"/>
        <v>3.7956676365987763E-2</v>
      </c>
      <c r="H50" s="164">
        <v>12.6</v>
      </c>
      <c r="I50" s="1">
        <f t="shared" si="3"/>
        <v>3.7891268533772671E-2</v>
      </c>
      <c r="J50" s="164">
        <v>346.8</v>
      </c>
      <c r="K50" s="91">
        <f t="shared" si="4"/>
        <v>4.112879015310722E-2</v>
      </c>
      <c r="L50" s="164">
        <v>305.7</v>
      </c>
      <c r="M50" s="91">
        <f t="shared" si="5"/>
        <v>-3.0139593908629414E-2</v>
      </c>
      <c r="N50" s="164">
        <v>651.58000000000004</v>
      </c>
      <c r="O50" s="91">
        <f t="shared" si="6"/>
        <v>3.840759864856258E-2</v>
      </c>
      <c r="P50" s="163">
        <v>1317.13</v>
      </c>
      <c r="Q50" s="91">
        <f t="shared" si="7"/>
        <v>6.8646561938616735E-3</v>
      </c>
      <c r="R50" s="164">
        <v>552.5</v>
      </c>
      <c r="S50" s="91">
        <f t="shared" si="8"/>
        <v>-4.029876671877719E-2</v>
      </c>
      <c r="T50" s="163">
        <v>1037</v>
      </c>
      <c r="U50" s="91">
        <f t="shared" si="9"/>
        <v>-2.478017585931247E-2</v>
      </c>
      <c r="V50" s="163">
        <v>33149.35</v>
      </c>
      <c r="W50" s="91">
        <f t="shared" si="10"/>
        <v>-1.9203248835625297E-3</v>
      </c>
    </row>
    <row r="51" spans="1:23" x14ac:dyDescent="0.2">
      <c r="A51" s="172">
        <v>201710</v>
      </c>
      <c r="B51" s="160">
        <v>1237.45</v>
      </c>
      <c r="D51" s="160">
        <v>7239</v>
      </c>
      <c r="F51" s="160">
        <v>2319.75</v>
      </c>
      <c r="H51" s="161">
        <v>12.14</v>
      </c>
      <c r="J51" s="161">
        <v>333.1</v>
      </c>
      <c r="L51" s="161">
        <v>315.2</v>
      </c>
      <c r="N51" s="161">
        <v>627.48</v>
      </c>
      <c r="P51" s="160">
        <v>1308.1500000000001</v>
      </c>
      <c r="R51" s="161">
        <v>575.70000000000005</v>
      </c>
      <c r="T51" s="160">
        <v>1063.3499999999999</v>
      </c>
      <c r="V51" s="160">
        <v>33213.129999999997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B08C9-84B0-3D40-8713-29095DAC1818}">
  <dimension ref="A1:G27"/>
  <sheetViews>
    <sheetView showGridLines="0" zoomScale="137" workbookViewId="0">
      <pane ySplit="1" topLeftCell="A4" activePane="bottomLeft" state="frozen"/>
      <selection pane="bottomLeft" activeCell="B9" sqref="B9"/>
    </sheetView>
  </sheetViews>
  <sheetFormatPr baseColWidth="10" defaultRowHeight="15" x14ac:dyDescent="0.2"/>
  <cols>
    <col min="1" max="1" width="20.1640625" bestFit="1" customWidth="1"/>
    <col min="2" max="2" width="11.83203125" bestFit="1" customWidth="1"/>
  </cols>
  <sheetData>
    <row r="1" spans="1:6" ht="16" thickBot="1" x14ac:dyDescent="0.25">
      <c r="A1" s="126" t="s">
        <v>272</v>
      </c>
      <c r="B1" s="126">
        <v>2021</v>
      </c>
      <c r="C1" s="126">
        <v>2020</v>
      </c>
      <c r="D1" s="126">
        <v>2019</v>
      </c>
      <c r="E1" s="126">
        <v>2018</v>
      </c>
      <c r="F1" s="126">
        <v>2017</v>
      </c>
    </row>
    <row r="2" spans="1:6" x14ac:dyDescent="0.2">
      <c r="A2" s="186" t="s">
        <v>273</v>
      </c>
      <c r="B2" s="186"/>
      <c r="C2" s="186"/>
      <c r="D2" s="186"/>
      <c r="E2" s="186"/>
      <c r="F2" s="186"/>
    </row>
    <row r="3" spans="1:6" x14ac:dyDescent="0.2">
      <c r="A3" s="136" t="s">
        <v>8</v>
      </c>
      <c r="B3" s="95">
        <f>Master!C82/Master!C109</f>
        <v>3.127077687909678</v>
      </c>
      <c r="C3" s="95">
        <f>Master!D82/Master!D109</f>
        <v>4.0164224080550888</v>
      </c>
      <c r="D3" s="95">
        <f>Master!E82/Master!E109</f>
        <v>3.0731981092463183</v>
      </c>
      <c r="E3" s="95">
        <f>Master!F82/Master!F109</f>
        <v>2.766637310028679</v>
      </c>
      <c r="F3" s="137">
        <f>Master!G82/Master!G109</f>
        <v>3.592553224198288</v>
      </c>
    </row>
    <row r="4" spans="1:6" x14ac:dyDescent="0.2">
      <c r="A4" s="136" t="s">
        <v>292</v>
      </c>
      <c r="B4" s="95">
        <f>(Master!C82-Master!C73)/Master!C109</f>
        <v>2.1962037198120345</v>
      </c>
      <c r="C4" s="95">
        <f>(Master!D82-Master!D73)/Master!D109</f>
        <v>3.1320888814565526</v>
      </c>
      <c r="D4" s="95">
        <f>(Master!E82-Master!E73)/Master!E109</f>
        <v>2.2846315982023708</v>
      </c>
      <c r="E4" s="95">
        <f>(Master!F82-Master!F73)/Master!F109</f>
        <v>1.9494896461396019</v>
      </c>
      <c r="F4" s="137">
        <f>(Master!G82-Master!G73)/Master!G109</f>
        <v>2.44117556628263</v>
      </c>
    </row>
    <row r="5" spans="1:6" ht="16" thickBot="1" x14ac:dyDescent="0.25">
      <c r="A5" s="138" t="s">
        <v>277</v>
      </c>
      <c r="B5" s="127">
        <f>(Master!C77+Master!C78)/Master!C109</f>
        <v>0.39329989571630913</v>
      </c>
      <c r="C5" s="127">
        <f>(Master!D77+Master!D78)/Master!D109</f>
        <v>0.75288385054695528</v>
      </c>
      <c r="D5" s="127">
        <f>(Master!E77+Master!E78)/Master!E109</f>
        <v>0.39169635693172417</v>
      </c>
      <c r="E5" s="127">
        <f>(Master!F77+Master!F78)/Master!F109</f>
        <v>0.29298827992683424</v>
      </c>
      <c r="F5" s="139">
        <f>(Master!G77+Master!G78)/Master!G109</f>
        <v>0.40223160231154292</v>
      </c>
    </row>
    <row r="6" spans="1:6" ht="16" thickBot="1" x14ac:dyDescent="0.25">
      <c r="A6" s="187" t="s">
        <v>274</v>
      </c>
      <c r="B6" s="188"/>
      <c r="C6" s="188"/>
      <c r="D6" s="188"/>
      <c r="E6" s="188"/>
      <c r="F6" s="189"/>
    </row>
    <row r="7" spans="1:6" ht="16" thickBot="1" x14ac:dyDescent="0.25">
      <c r="A7" s="140" t="s">
        <v>275</v>
      </c>
      <c r="B7" s="129">
        <f>Master!C30/Master!C31</f>
        <v>8.9476572220303539E-5</v>
      </c>
      <c r="C7" s="129">
        <f>Master!D30/Master!D31</f>
        <v>8.7920956717434386E-5</v>
      </c>
      <c r="D7" s="129">
        <f>Master!E30/Master!E31</f>
        <v>1.3613381349978122E-4</v>
      </c>
      <c r="E7" s="129">
        <f>Master!F30/Master!F31</f>
        <v>2.1648979210755635E-4</v>
      </c>
      <c r="F7" s="141">
        <v>0</v>
      </c>
    </row>
    <row r="8" spans="1:6" x14ac:dyDescent="0.2">
      <c r="A8" s="183" t="s">
        <v>276</v>
      </c>
      <c r="B8" s="184"/>
      <c r="C8" s="184"/>
      <c r="D8" s="184"/>
      <c r="E8" s="184"/>
      <c r="F8" s="185"/>
    </row>
    <row r="9" spans="1:6" x14ac:dyDescent="0.2">
      <c r="A9" s="142" t="s">
        <v>277</v>
      </c>
      <c r="B9" s="95">
        <f>Master!S109/-Master!S101</f>
        <v>5.3197607545431715</v>
      </c>
      <c r="C9" s="95">
        <f>Master!T109/-Master!T101</f>
        <v>12.326526130873924</v>
      </c>
      <c r="D9" s="95">
        <f>Master!U109/-Master!U101</f>
        <v>1.8775957544993445</v>
      </c>
      <c r="E9" s="95">
        <f>Master!V109/-Master!V101</f>
        <v>2.1187113857016766</v>
      </c>
      <c r="F9" s="137">
        <f>Master!W109/-Master!W101</f>
        <v>7.1777675700505279</v>
      </c>
    </row>
    <row r="10" spans="1:6" ht="16" thickBot="1" x14ac:dyDescent="0.25">
      <c r="A10" s="143" t="s">
        <v>278</v>
      </c>
      <c r="B10" s="127">
        <f>Master!K68/-Master!S101</f>
        <v>394.85047158960191</v>
      </c>
      <c r="C10" s="127">
        <f>Master!L68/-Master!T101</f>
        <v>423.77953447518661</v>
      </c>
      <c r="D10" s="127">
        <f>Master!M68/-Master!U101</f>
        <v>212.78449469312412</v>
      </c>
      <c r="E10" s="127">
        <f>Master!N68/-Master!V101</f>
        <v>360.7413945278023</v>
      </c>
      <c r="F10" s="139">
        <f>Master!O68/-Master!W101</f>
        <v>712.12494258153458</v>
      </c>
    </row>
    <row r="11" spans="1:6" ht="16" thickBot="1" x14ac:dyDescent="0.25">
      <c r="A11" s="180" t="s">
        <v>279</v>
      </c>
      <c r="B11" s="190"/>
      <c r="C11" s="190"/>
      <c r="D11" s="190"/>
      <c r="E11" s="190"/>
      <c r="F11" s="191"/>
    </row>
    <row r="12" spans="1:6" x14ac:dyDescent="0.2">
      <c r="A12" s="144" t="s">
        <v>280</v>
      </c>
      <c r="B12" s="133">
        <f>(Master!K55-Master!K59)/Master!K55</f>
        <v>0.7196249567744486</v>
      </c>
      <c r="C12" s="133">
        <f>(Master!L55-Master!L59)/Master!L55</f>
        <v>0.71966447997258542</v>
      </c>
      <c r="D12" s="133">
        <f>(Master!M55-Master!M59)/Master!M55</f>
        <v>0.71202040695529634</v>
      </c>
      <c r="E12" s="133">
        <f>(Master!N55-Master!N59)/Master!N55</f>
        <v>0.73426150271576907</v>
      </c>
      <c r="F12" s="145">
        <f>(Master!O55-Master!O59)/Master!O55</f>
        <v>0.78781087878725575</v>
      </c>
    </row>
    <row r="13" spans="1:6" x14ac:dyDescent="0.2">
      <c r="A13" s="142" t="s">
        <v>281</v>
      </c>
      <c r="B13" s="94">
        <f>Master!K85/Master!K55</f>
        <v>0.27363247544438329</v>
      </c>
      <c r="C13" s="94">
        <f>Master!L85/Master!L55</f>
        <v>0.2938479306877938</v>
      </c>
      <c r="D13" s="94">
        <f>Master!M85/Master!M55</f>
        <v>0.28015836838712932</v>
      </c>
      <c r="E13" s="94">
        <f>Master!N85/Master!N55</f>
        <v>0.26233386837228134</v>
      </c>
      <c r="F13" s="146">
        <f>Master!O85/Master!O55</f>
        <v>0.18535952125631636</v>
      </c>
    </row>
    <row r="14" spans="1:6" x14ac:dyDescent="0.2">
      <c r="A14" s="142" t="s">
        <v>282</v>
      </c>
      <c r="B14" s="94">
        <f>Master!K74/Master!C83</f>
        <v>0.18205562573291556</v>
      </c>
      <c r="C14" s="94">
        <f>Master!L74/Master!D83</f>
        <v>0.20118266198234447</v>
      </c>
      <c r="D14" s="94">
        <f>Master!M74/Master!E83</f>
        <v>0.17857724127022692</v>
      </c>
      <c r="E14" s="94">
        <f>Master!N74/Master!F83</f>
        <v>0.17991366324304509</v>
      </c>
      <c r="F14" s="146">
        <f>Master!O74/Master!G83</f>
        <v>0.18815311730219625</v>
      </c>
    </row>
    <row r="15" spans="1:6" ht="16" thickBot="1" x14ac:dyDescent="0.25">
      <c r="A15" s="143" t="s">
        <v>251</v>
      </c>
      <c r="B15" s="134">
        <f>Master!Z5</f>
        <v>0.22503151450277242</v>
      </c>
      <c r="C15" s="134">
        <f>Master!AA5</f>
        <v>0.21481212622498869</v>
      </c>
      <c r="D15" s="134">
        <f>Master!AB5</f>
        <v>0.22134471928198529</v>
      </c>
      <c r="E15" s="134">
        <f>Master!AC5</f>
        <v>0.22578938122068706</v>
      </c>
      <c r="F15" s="147">
        <f>Master!AD5</f>
        <v>0.2266802467349612</v>
      </c>
    </row>
    <row r="16" spans="1:6" ht="16" thickBot="1" x14ac:dyDescent="0.25">
      <c r="A16" s="180" t="s">
        <v>283</v>
      </c>
      <c r="B16" s="190"/>
      <c r="C16" s="190"/>
      <c r="D16" s="190"/>
      <c r="E16" s="190"/>
      <c r="F16" s="191"/>
    </row>
    <row r="17" spans="1:7" x14ac:dyDescent="0.2">
      <c r="A17" s="144" t="s">
        <v>284</v>
      </c>
      <c r="B17" s="135">
        <f>Master!C89/Master!C87</f>
        <v>47.936906928376438</v>
      </c>
      <c r="C17" s="135">
        <f>Master!D89/Master!D87</f>
        <v>52.089259855843544</v>
      </c>
      <c r="D17" s="135">
        <f>Master!E89/Master!E87</f>
        <v>47.272763610852792</v>
      </c>
      <c r="E17" s="135">
        <f>Master!F89/Master!F87</f>
        <v>42.116360626992126</v>
      </c>
      <c r="F17" s="148">
        <f>Master!G89/Master!G87</f>
        <v>37.325649933319063</v>
      </c>
    </row>
    <row r="18" spans="1:7" x14ac:dyDescent="0.2">
      <c r="A18" s="142" t="s">
        <v>285</v>
      </c>
      <c r="B18" s="1">
        <f>Master!K86</f>
        <v>10.59</v>
      </c>
      <c r="C18" s="1">
        <f>Master!L86</f>
        <v>12.33</v>
      </c>
      <c r="D18" s="1">
        <f>Master!M86</f>
        <v>10.19</v>
      </c>
      <c r="E18" s="1">
        <f>Master!N86</f>
        <v>9.2200000000000006</v>
      </c>
      <c r="F18" s="149">
        <f>Master!O86</f>
        <v>8.43</v>
      </c>
    </row>
    <row r="19" spans="1:7" x14ac:dyDescent="0.2">
      <c r="A19" s="142" t="s">
        <v>286</v>
      </c>
      <c r="B19" s="1">
        <f>Master!K87</f>
        <v>10.59</v>
      </c>
      <c r="C19" s="1">
        <f>Master!L87</f>
        <v>12.31</v>
      </c>
      <c r="D19" s="1">
        <f>Master!M87</f>
        <v>10.130000000000001</v>
      </c>
      <c r="E19" s="1">
        <f>Master!N87</f>
        <v>9.16</v>
      </c>
      <c r="F19" s="149">
        <f>Master!O87</f>
        <v>8.3800000000000008</v>
      </c>
    </row>
    <row r="20" spans="1:7" ht="16" thickBot="1" x14ac:dyDescent="0.25">
      <c r="A20" s="143" t="s">
        <v>287</v>
      </c>
      <c r="B20" s="127">
        <f>Master!S5</f>
        <v>20.420000000000002</v>
      </c>
      <c r="C20" s="127">
        <f>Master!T5</f>
        <v>13.77</v>
      </c>
      <c r="D20" s="127">
        <f>Master!U5</f>
        <v>28.86</v>
      </c>
      <c r="E20" s="127">
        <f>Master!V5</f>
        <v>27.59</v>
      </c>
      <c r="F20" s="127">
        <f>Master!W5</f>
        <v>32.979999999999997</v>
      </c>
    </row>
    <row r="21" spans="1:7" ht="16" thickBot="1" x14ac:dyDescent="0.25">
      <c r="A21" s="180" t="s">
        <v>288</v>
      </c>
      <c r="B21" s="181"/>
      <c r="C21" s="181"/>
      <c r="D21" s="181"/>
      <c r="E21" s="181"/>
      <c r="F21" s="182"/>
    </row>
    <row r="22" spans="1:7" x14ac:dyDescent="0.2">
      <c r="A22" s="144" t="s">
        <v>289</v>
      </c>
      <c r="B22" s="159">
        <v>66.739999999999995</v>
      </c>
      <c r="C22" s="159">
        <v>63.85</v>
      </c>
      <c r="D22" s="159">
        <v>67.34</v>
      </c>
      <c r="E22" s="159">
        <v>67.58</v>
      </c>
      <c r="F22" s="159">
        <v>76.459999999999994</v>
      </c>
    </row>
    <row r="23" spans="1:7" ht="18" x14ac:dyDescent="0.2">
      <c r="A23" s="142" t="s">
        <v>290</v>
      </c>
      <c r="B23" s="132">
        <v>4.8</v>
      </c>
      <c r="C23" s="132">
        <v>5.68</v>
      </c>
      <c r="D23" s="132">
        <v>5.93</v>
      </c>
      <c r="E23" s="132">
        <v>5.61</v>
      </c>
      <c r="F23" s="150">
        <v>5.0999999999999996</v>
      </c>
      <c r="G23" s="130"/>
    </row>
    <row r="24" spans="1:7" ht="16" thickBot="1" x14ac:dyDescent="0.25">
      <c r="A24" s="151" t="s">
        <v>291</v>
      </c>
      <c r="B24" s="152">
        <f>365/B23</f>
        <v>76.041666666666671</v>
      </c>
      <c r="C24" s="152">
        <f t="shared" ref="C24:F24" si="0">365/C23</f>
        <v>64.260563380281695</v>
      </c>
      <c r="D24" s="152">
        <f t="shared" si="0"/>
        <v>61.551433389544691</v>
      </c>
      <c r="E24" s="152">
        <f t="shared" si="0"/>
        <v>65.062388591800357</v>
      </c>
      <c r="F24" s="153">
        <f t="shared" si="0"/>
        <v>71.568627450980401</v>
      </c>
    </row>
    <row r="25" spans="1:7" ht="16" thickBot="1" x14ac:dyDescent="0.25">
      <c r="A25" s="183" t="s">
        <v>308</v>
      </c>
      <c r="B25" s="184"/>
      <c r="C25" s="184"/>
      <c r="D25" s="184"/>
      <c r="E25" s="184"/>
      <c r="F25" s="185"/>
    </row>
    <row r="26" spans="1:7" x14ac:dyDescent="0.2">
      <c r="A26" s="173" t="s">
        <v>309</v>
      </c>
      <c r="B26" s="174">
        <v>6.49</v>
      </c>
      <c r="C26" s="174">
        <v>7.47</v>
      </c>
      <c r="D26" s="174">
        <v>11.07</v>
      </c>
      <c r="E26" s="174">
        <v>5.77</v>
      </c>
      <c r="F26" s="175">
        <v>10.06</v>
      </c>
    </row>
    <row r="27" spans="1:7" ht="16" thickBot="1" x14ac:dyDescent="0.25">
      <c r="A27" s="151" t="s">
        <v>310</v>
      </c>
      <c r="B27" s="176">
        <v>7.97</v>
      </c>
      <c r="C27" s="176">
        <v>22</v>
      </c>
      <c r="D27" s="176">
        <v>16.23</v>
      </c>
      <c r="E27" s="176">
        <v>8.4499999999999993</v>
      </c>
      <c r="F27" s="177">
        <v>7.92</v>
      </c>
      <c r="G27" s="131"/>
    </row>
  </sheetData>
  <mergeCells count="7">
    <mergeCell ref="A21:F21"/>
    <mergeCell ref="A25:F25"/>
    <mergeCell ref="A2:F2"/>
    <mergeCell ref="A6:F6"/>
    <mergeCell ref="A8:F8"/>
    <mergeCell ref="A11:F11"/>
    <mergeCell ref="A16:F1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63"/>
  <sheetViews>
    <sheetView showGridLines="0" topLeftCell="A4" zoomScale="114" zoomScaleNormal="80" workbookViewId="0">
      <selection activeCell="O44" sqref="O44"/>
    </sheetView>
  </sheetViews>
  <sheetFormatPr baseColWidth="10" defaultColWidth="8.83203125" defaultRowHeight="15" x14ac:dyDescent="0.2"/>
  <cols>
    <col min="1" max="1" width="13.5" customWidth="1"/>
    <col min="4" max="4" width="10.1640625" customWidth="1"/>
    <col min="6" max="6" width="12.33203125" bestFit="1" customWidth="1"/>
    <col min="7" max="10" width="13" bestFit="1" customWidth="1"/>
    <col min="15" max="15" width="12.33203125" bestFit="1" customWidth="1"/>
    <col min="19" max="19" width="10.6640625" customWidth="1"/>
    <col min="20" max="20" width="13.6640625" bestFit="1" customWidth="1"/>
    <col min="21" max="21" width="13" bestFit="1" customWidth="1"/>
  </cols>
  <sheetData>
    <row r="1" spans="1:23" ht="19" thickBot="1" x14ac:dyDescent="0.25">
      <c r="K1" s="201" t="s">
        <v>271</v>
      </c>
      <c r="L1" s="202"/>
      <c r="M1" s="202"/>
      <c r="N1" s="202"/>
      <c r="O1" s="203"/>
    </row>
    <row r="3" spans="1:23" ht="16" x14ac:dyDescent="0.2">
      <c r="R3" s="218"/>
      <c r="S3" s="219"/>
      <c r="T3" s="219"/>
      <c r="U3" s="219"/>
      <c r="V3" s="219"/>
    </row>
    <row r="4" spans="1:23" ht="16" thickBot="1" x14ac:dyDescent="0.25"/>
    <row r="5" spans="1:23" ht="17" thickBot="1" x14ac:dyDescent="0.25">
      <c r="A5" s="232" t="s">
        <v>262</v>
      </c>
      <c r="B5" s="233"/>
      <c r="C5" s="233"/>
      <c r="D5" s="233"/>
      <c r="E5" s="233"/>
      <c r="F5" s="233"/>
      <c r="G5" s="233"/>
      <c r="H5" s="233"/>
      <c r="I5" s="233"/>
      <c r="J5" s="234"/>
      <c r="M5" s="229" t="s">
        <v>269</v>
      </c>
      <c r="N5" s="230"/>
      <c r="O5" s="230"/>
      <c r="P5" s="230"/>
      <c r="Q5" s="230"/>
      <c r="R5" s="231"/>
      <c r="S5" s="110">
        <v>2021</v>
      </c>
      <c r="T5" s="110">
        <v>2020</v>
      </c>
      <c r="U5" s="110">
        <v>2019</v>
      </c>
      <c r="V5" s="118">
        <v>2018</v>
      </c>
      <c r="W5" s="110">
        <v>2017</v>
      </c>
    </row>
    <row r="6" spans="1:23" ht="17" thickBot="1" x14ac:dyDescent="0.25">
      <c r="A6" s="204" t="s">
        <v>81</v>
      </c>
      <c r="B6" s="205"/>
      <c r="C6" s="205"/>
      <c r="D6" s="205"/>
      <c r="E6" s="205"/>
      <c r="F6" s="117">
        <v>2021</v>
      </c>
      <c r="G6" s="117">
        <v>2020</v>
      </c>
      <c r="H6" s="117">
        <v>2019</v>
      </c>
      <c r="I6" s="117">
        <v>2018</v>
      </c>
      <c r="J6" s="117">
        <v>2017</v>
      </c>
      <c r="M6" s="250"/>
      <c r="N6" s="251"/>
      <c r="O6" s="251"/>
      <c r="P6" s="251"/>
      <c r="Q6" s="251"/>
      <c r="R6" s="252"/>
      <c r="S6" s="119"/>
      <c r="T6" s="119"/>
      <c r="U6" s="119"/>
      <c r="V6" s="119"/>
      <c r="W6" s="119"/>
    </row>
    <row r="7" spans="1:23" ht="16" x14ac:dyDescent="0.2">
      <c r="A7" s="216" t="s">
        <v>82</v>
      </c>
      <c r="B7" s="217"/>
      <c r="C7" s="217"/>
      <c r="D7" s="217"/>
      <c r="E7" s="217"/>
      <c r="F7" s="111"/>
      <c r="G7" s="111"/>
      <c r="H7" s="111"/>
      <c r="I7" s="111"/>
      <c r="J7" s="111"/>
      <c r="M7" s="253" t="s">
        <v>151</v>
      </c>
      <c r="N7" s="254"/>
      <c r="O7" s="254"/>
      <c r="P7" s="254"/>
      <c r="Q7" s="254"/>
      <c r="R7" s="255"/>
      <c r="S7" s="112">
        <f>(Master!K55/Master!$K57)</f>
        <v>0.93720991364067163</v>
      </c>
      <c r="T7" s="112">
        <f>(Master!L55/Master!$L57)</f>
        <v>0.93951024668312555</v>
      </c>
      <c r="U7" s="112">
        <f>(Master!M55/Master!$M57)</f>
        <v>0.94852713743602768</v>
      </c>
      <c r="V7" s="121">
        <f>(Master!N55/Master!$N57)</f>
        <v>0.95406819250798092</v>
      </c>
      <c r="W7" s="121">
        <f>(Master!O55/Master!$O57)</f>
        <v>0.96542296885993517</v>
      </c>
    </row>
    <row r="8" spans="1:23" x14ac:dyDescent="0.2">
      <c r="A8" s="192" t="s">
        <v>83</v>
      </c>
      <c r="B8" s="193"/>
      <c r="C8" s="193"/>
      <c r="D8" s="193"/>
      <c r="E8" s="194"/>
      <c r="F8" s="112">
        <f>(Master!C58/Master!$C83)</f>
        <v>0.25830917173857587</v>
      </c>
      <c r="G8" s="112">
        <f>(Master!D58/Master!$D83)</f>
        <v>0.25164457244572236</v>
      </c>
      <c r="H8" s="112">
        <f>(Master!E58/Master!$E83)</f>
        <v>0.25710866455619308</v>
      </c>
      <c r="I8" s="112">
        <f>(Master!F58/Master!$F83)</f>
        <v>0.24238028986566651</v>
      </c>
      <c r="J8" s="112">
        <f>(Master!G58/Master!$G83)</f>
        <v>0.26688308514376308</v>
      </c>
      <c r="M8" s="192" t="s">
        <v>152</v>
      </c>
      <c r="N8" s="193"/>
      <c r="O8" s="193"/>
      <c r="P8" s="193"/>
      <c r="Q8" s="193"/>
      <c r="R8" s="194"/>
      <c r="S8" s="112">
        <f>(Master!K56/Master!$K57)</f>
        <v>6.2790086359328423E-2</v>
      </c>
      <c r="T8" s="112">
        <f>(Master!L56/Master!$L57)</f>
        <v>6.0489753316874409E-2</v>
      </c>
      <c r="U8" s="112">
        <f>(Master!M56/Master!$M57)</f>
        <v>5.1472862563972308E-2</v>
      </c>
      <c r="V8" s="121">
        <f>(Master!N56/Master!$N57)</f>
        <v>4.5931807492019021E-2</v>
      </c>
      <c r="W8" s="121">
        <f>(Master!O56/Master!$O57)</f>
        <v>3.4577031140064739E-2</v>
      </c>
    </row>
    <row r="9" spans="1:23" ht="16" x14ac:dyDescent="0.2">
      <c r="A9" s="220" t="s">
        <v>89</v>
      </c>
      <c r="B9" s="221"/>
      <c r="C9" s="221"/>
      <c r="D9" s="221"/>
      <c r="E9" s="222"/>
      <c r="F9" s="112">
        <f>(Master!C59/Master!$C83)</f>
        <v>4.6520604622429497E-2</v>
      </c>
      <c r="G9" s="112">
        <f>(Master!D59/Master!$D83)</f>
        <v>3.6901664323796692E-2</v>
      </c>
      <c r="H9" s="112">
        <f>(Master!E59/Master!$E83)</f>
        <v>4.8589843364959862E-2</v>
      </c>
      <c r="I9" s="112">
        <f>(Master!F59/Master!$F83)</f>
        <v>8.0422325212471502E-2</v>
      </c>
      <c r="J9" s="112">
        <f>(Master!G59/Master!$G83)</f>
        <v>6.4396731958030806E-2</v>
      </c>
      <c r="M9" s="195" t="s">
        <v>153</v>
      </c>
      <c r="N9" s="196"/>
      <c r="O9" s="196"/>
      <c r="P9" s="196"/>
      <c r="Q9" s="196"/>
      <c r="R9" s="197"/>
      <c r="S9" s="120">
        <f>(Master!K57/Master!$K57)</f>
        <v>1</v>
      </c>
      <c r="T9" s="120">
        <f>(Master!L57/Master!$L57)</f>
        <v>1</v>
      </c>
      <c r="U9" s="120">
        <f>(Master!M57/Master!$M57)</f>
        <v>1</v>
      </c>
      <c r="V9" s="122">
        <f>(Master!N57/Master!$N57)</f>
        <v>1</v>
      </c>
      <c r="W9" s="122">
        <f>(Master!O57/Master!$O57)</f>
        <v>1</v>
      </c>
    </row>
    <row r="10" spans="1:23" ht="16" x14ac:dyDescent="0.2">
      <c r="A10" s="235" t="s">
        <v>90</v>
      </c>
      <c r="B10" s="236"/>
      <c r="C10" s="236"/>
      <c r="D10" s="236"/>
      <c r="E10" s="237"/>
      <c r="F10" s="112">
        <f>(Master!C60/Master!$C83)</f>
        <v>5.2606476564719959E-3</v>
      </c>
      <c r="G10" s="112">
        <f>(Master!D60/Master!$D83)</f>
        <v>5.1220596272816407E-3</v>
      </c>
      <c r="H10" s="112">
        <f>(Master!E60/Master!$E83)</f>
        <v>0</v>
      </c>
      <c r="I10" s="112">
        <f>(Master!F60/Master!$F83)</f>
        <v>0</v>
      </c>
      <c r="J10" s="112">
        <f>(Master!G60/Master!$G83)</f>
        <v>0</v>
      </c>
      <c r="M10" s="195" t="s">
        <v>154</v>
      </c>
      <c r="N10" s="196"/>
      <c r="O10" s="196"/>
      <c r="P10" s="196"/>
      <c r="Q10" s="196"/>
      <c r="R10" s="197"/>
      <c r="S10" s="112"/>
      <c r="T10" s="111"/>
      <c r="U10" s="111"/>
      <c r="V10" s="111"/>
      <c r="W10" s="111"/>
    </row>
    <row r="11" spans="1:23" ht="16" x14ac:dyDescent="0.2">
      <c r="A11" s="226" t="s">
        <v>92</v>
      </c>
      <c r="B11" s="227"/>
      <c r="C11" s="227"/>
      <c r="D11" s="227"/>
      <c r="E11" s="228"/>
      <c r="F11" s="112">
        <f>(Master!C61/Master!$C83)</f>
        <v>8.0636441133302428E-3</v>
      </c>
      <c r="G11" s="112"/>
      <c r="H11" s="112">
        <f>(Master!E61/Master!$E83)</f>
        <v>0</v>
      </c>
      <c r="I11" s="112">
        <f>(Master!F61/Master!$F83)</f>
        <v>0</v>
      </c>
      <c r="J11" s="112">
        <f>(Master!G61/Master!$G83)</f>
        <v>0</v>
      </c>
      <c r="M11" s="192" t="s">
        <v>155</v>
      </c>
      <c r="N11" s="193"/>
      <c r="O11" s="193"/>
      <c r="P11" s="193"/>
      <c r="Q11" s="193"/>
      <c r="R11" s="194"/>
      <c r="S11" s="112">
        <f>(Master!K59/Master!$K57)</f>
        <v>0.26277027004841863</v>
      </c>
      <c r="T11" s="112">
        <f>(Master!L59/Master!$L57)</f>
        <v>0.26337809357499847</v>
      </c>
      <c r="U11" s="112">
        <f>(Master!M59/Master!$M57)</f>
        <v>0.27315645903068492</v>
      </c>
      <c r="V11" s="112">
        <f>(Master!N59/Master!$N57)</f>
        <v>0.25353264778375317</v>
      </c>
      <c r="W11" s="121">
        <f>(Master!O59/Master!$O57)</f>
        <v>0.2048522513609882</v>
      </c>
    </row>
    <row r="12" spans="1:23" ht="16" x14ac:dyDescent="0.2">
      <c r="A12" s="220" t="s">
        <v>95</v>
      </c>
      <c r="B12" s="221"/>
      <c r="C12" s="221"/>
      <c r="D12" s="221"/>
      <c r="E12" s="222"/>
      <c r="F12" s="112">
        <f>(Master!C62/Master!$C83)</f>
        <v>2.800090639159749E-2</v>
      </c>
      <c r="G12" s="112">
        <f>(Master!D62/Master!$D83)</f>
        <v>6.9043332815846188E-3</v>
      </c>
      <c r="H12" s="112">
        <f>(Master!E62/Master!$E83)</f>
        <v>7.7473655375403724E-3</v>
      </c>
      <c r="I12" s="112">
        <f>(Master!F62/Master!$F83)</f>
        <v>7.1494170289145903E-3</v>
      </c>
      <c r="J12" s="112">
        <f>(Master!G62/Master!$G83)</f>
        <v>7.5793193700377844E-3</v>
      </c>
      <c r="M12" s="192" t="s">
        <v>156</v>
      </c>
      <c r="N12" s="193"/>
      <c r="O12" s="193"/>
      <c r="P12" s="193"/>
      <c r="Q12" s="193"/>
      <c r="R12" s="194"/>
      <c r="S12" s="112">
        <f>(Master!K60/Master!$K57)</f>
        <v>0.13319805707445195</v>
      </c>
      <c r="T12" s="112">
        <f>(Master!L60/Master!$L57)</f>
        <v>8.6102446759398654E-2</v>
      </c>
      <c r="U12" s="112">
        <f>(Master!M60/Master!$M57)</f>
        <v>8.909084995254711E-2</v>
      </c>
      <c r="V12" s="112">
        <f>(Master!N60/Master!$N57)</f>
        <v>6.4524588410383443E-2</v>
      </c>
      <c r="W12" s="121">
        <f>(Master!O60/Master!$O57)</f>
        <v>6.2098182673545471E-2</v>
      </c>
    </row>
    <row r="13" spans="1:23" ht="15.75" customHeight="1" x14ac:dyDescent="0.2">
      <c r="A13" s="220" t="s">
        <v>97</v>
      </c>
      <c r="B13" s="221"/>
      <c r="C13" s="221"/>
      <c r="D13" s="221"/>
      <c r="E13" s="222"/>
      <c r="F13" s="112">
        <f>(Master!C63/Master!$C83)</f>
        <v>4.8895970888177144E-5</v>
      </c>
      <c r="G13" s="112">
        <f>(Master!D63/Master!$D83)</f>
        <v>5.1704411329991652E-5</v>
      </c>
      <c r="H13" s="112">
        <f>(Master!E63/Master!$E83)</f>
        <v>1.416947668354587E-4</v>
      </c>
      <c r="I13" s="112">
        <f>(Master!F63/Master!$F83)</f>
        <v>1.3994576260100984E-4</v>
      </c>
      <c r="J13" s="112">
        <f>(Master!G63/Master!$G83)</f>
        <v>8.4274092771592125E-4</v>
      </c>
      <c r="M13" s="213" t="s">
        <v>157</v>
      </c>
      <c r="N13" s="214"/>
      <c r="O13" s="214"/>
      <c r="P13" s="214"/>
      <c r="Q13" s="214"/>
      <c r="R13" s="215"/>
      <c r="S13" s="112">
        <f>(Master!K61/Master!$K57)</f>
        <v>-1.0175849479474185E-2</v>
      </c>
      <c r="T13" s="112">
        <f>(Master!L61/Master!$L57)</f>
        <v>-3.5394713072800627E-3</v>
      </c>
      <c r="U13" s="112">
        <f>(Master!M61/Master!$M57)</f>
        <v>-3.7320073181651217E-3</v>
      </c>
      <c r="V13" s="112">
        <f>(Master!N61/Master!$N57)</f>
        <v>2.2468379613285509E-2</v>
      </c>
      <c r="W13" s="121">
        <f>(Master!O61/Master!$O57)</f>
        <v>1.1215758090495289E-2</v>
      </c>
    </row>
    <row r="14" spans="1:23" ht="16" x14ac:dyDescent="0.2">
      <c r="A14" s="226" t="s">
        <v>100</v>
      </c>
      <c r="B14" s="227"/>
      <c r="C14" s="227"/>
      <c r="D14" s="227"/>
      <c r="E14" s="228"/>
      <c r="F14" s="112">
        <f>(Master!C64/Master!$C83)</f>
        <v>1.0154156422960765E-2</v>
      </c>
      <c r="G14" s="112">
        <f>(Master!D64/Master!$D83)</f>
        <v>9.0405628417276149E-3</v>
      </c>
      <c r="H14" s="112">
        <f>(Master!E64/Master!$E83)</f>
        <v>0</v>
      </c>
      <c r="I14" s="112">
        <f>(Master!F64/Master!$F83)</f>
        <v>0</v>
      </c>
      <c r="J14" s="112">
        <f>(Master!G64/Master!$G83)</f>
        <v>0</v>
      </c>
      <c r="M14" s="192" t="s">
        <v>158</v>
      </c>
      <c r="N14" s="193"/>
      <c r="O14" s="193"/>
      <c r="P14" s="193"/>
      <c r="Q14" s="193"/>
      <c r="R14" s="194"/>
      <c r="S14" s="112">
        <f>(Master!K62/Master!$K57)</f>
        <v>5.8703986226698208E-2</v>
      </c>
      <c r="T14" s="112">
        <f>(Master!L62/Master!$L57)</f>
        <v>2.3838140543144461E-2</v>
      </c>
      <c r="U14" s="112">
        <f>(Master!M62/Master!$M57)</f>
        <v>1.6340532097976899E-2</v>
      </c>
      <c r="V14" s="112">
        <f>(Master!N62/Master!$N57)</f>
        <v>7.9841732548537714E-2</v>
      </c>
      <c r="W14" s="121">
        <f>(Master!O62/Master!$O57)</f>
        <v>4.255831482089905E-2</v>
      </c>
    </row>
    <row r="15" spans="1:23" x14ac:dyDescent="0.2">
      <c r="A15" s="192"/>
      <c r="B15" s="193"/>
      <c r="C15" s="193"/>
      <c r="D15" s="193"/>
      <c r="E15" s="194"/>
      <c r="F15" s="112"/>
      <c r="G15" s="112"/>
      <c r="H15" s="112"/>
      <c r="I15" s="111"/>
      <c r="J15" s="111"/>
      <c r="M15" s="192" t="s">
        <v>159</v>
      </c>
      <c r="N15" s="193"/>
      <c r="O15" s="193"/>
      <c r="P15" s="193"/>
      <c r="Q15" s="193"/>
      <c r="R15" s="194"/>
      <c r="S15" s="112">
        <f>(Master!K63/Master!$K57)</f>
        <v>5.4484232223214323E-2</v>
      </c>
      <c r="T15" s="112">
        <f>(Master!L63/Master!$L57)</f>
        <v>5.3355211657734693E-2</v>
      </c>
      <c r="U15" s="112">
        <f>(Master!M63/Master!$M57)</f>
        <v>5.6525802415756887E-2</v>
      </c>
      <c r="V15" s="112">
        <f>(Master!N63/Master!$N57)</f>
        <v>5.3644186353950359E-2</v>
      </c>
      <c r="W15" s="121">
        <f>(Master!O63/Master!$O57)</f>
        <v>0.26743185308727163</v>
      </c>
    </row>
    <row r="16" spans="1:23" ht="16" x14ac:dyDescent="0.2">
      <c r="A16" s="195" t="s">
        <v>263</v>
      </c>
      <c r="B16" s="196"/>
      <c r="C16" s="196"/>
      <c r="D16" s="196"/>
      <c r="E16" s="197"/>
      <c r="F16" s="112"/>
      <c r="G16" s="112"/>
      <c r="H16" s="112"/>
      <c r="I16" s="111"/>
      <c r="J16" s="111"/>
      <c r="M16" s="192" t="s">
        <v>180</v>
      </c>
      <c r="N16" s="193"/>
      <c r="O16" s="193"/>
      <c r="P16" s="193"/>
      <c r="Q16" s="193"/>
      <c r="R16" s="194"/>
      <c r="S16" s="112">
        <f>(Master!K64/Master!$K57)</f>
        <v>9.1684237708430992E-4</v>
      </c>
      <c r="T16" s="112">
        <f>(Master!L64/Master!$L57)</f>
        <v>1.1184038859115633E-3</v>
      </c>
      <c r="U16" s="112">
        <f>(Master!M64/Master!$M57)</f>
        <v>7.0832313871469692E-4</v>
      </c>
      <c r="V16" s="112">
        <f>(Master!N64/Master!$N57)</f>
        <v>1.8686808019304025E-3</v>
      </c>
      <c r="W16" s="121">
        <f>(Master!O64/Master!$O57)</f>
        <v>3.995865193611421E-4</v>
      </c>
    </row>
    <row r="17" spans="1:23" ht="15.75" customHeight="1" x14ac:dyDescent="0.2">
      <c r="A17" s="220" t="s">
        <v>103</v>
      </c>
      <c r="B17" s="221"/>
      <c r="C17" s="221"/>
      <c r="D17" s="221"/>
      <c r="E17" s="222"/>
      <c r="F17" s="112">
        <f>(Master!C66/Master!$C83)</f>
        <v>0.18092040099166615</v>
      </c>
      <c r="G17" s="112">
        <f>(Master!D66/Master!$D83)</f>
        <v>0.17884662212023711</v>
      </c>
      <c r="H17" s="112">
        <f>(Master!E66/Master!$E83)</f>
        <v>0.2016027125163615</v>
      </c>
      <c r="I17" s="112">
        <f>(Master!F66/Master!$F83)</f>
        <v>0.21631110343787266</v>
      </c>
      <c r="J17" s="112">
        <f>(Master!G66/Master!$G83)</f>
        <v>0.1565131663283591</v>
      </c>
      <c r="M17" s="213" t="s">
        <v>160</v>
      </c>
      <c r="N17" s="214"/>
      <c r="O17" s="214"/>
      <c r="P17" s="214"/>
      <c r="Q17" s="214"/>
      <c r="R17" s="215"/>
      <c r="S17" s="112">
        <f>(Master!K65/Master!$K57)</f>
        <v>3.0165408253667321E-2</v>
      </c>
      <c r="T17" s="112">
        <f>(Master!L65/Master!$L57)</f>
        <v>3.137773228156801E-2</v>
      </c>
      <c r="U17" s="112">
        <f>(Master!M65/Master!$M57)</f>
        <v>2.717483068300872E-2</v>
      </c>
      <c r="V17" s="112">
        <f>(Master!N65/Master!$N57)</f>
        <v>2.4700876285135887E-2</v>
      </c>
      <c r="W17" s="121">
        <f>(Master!O65/Master!$O57)</f>
        <v>1.807349849924357E-2</v>
      </c>
    </row>
    <row r="18" spans="1:23" ht="16" x14ac:dyDescent="0.2">
      <c r="A18" s="223" t="s">
        <v>105</v>
      </c>
      <c r="B18" s="224"/>
      <c r="C18" s="224"/>
      <c r="D18" s="224"/>
      <c r="E18" s="225"/>
      <c r="F18" s="112">
        <f>(Master!C67/Master!$C83)</f>
        <v>3.3109557429994237E-5</v>
      </c>
      <c r="G18" s="112">
        <f>(Master!D67/Master!$D83)</f>
        <v>4.3995270309067449E-5</v>
      </c>
      <c r="H18" s="112">
        <f>(Master!E67/Master!$E83)</f>
        <v>8.8971132664125222E-5</v>
      </c>
      <c r="I18" s="112">
        <f>(Master!F67/Master!$F83)</f>
        <v>1.1862527414060399E-4</v>
      </c>
      <c r="J18" s="112">
        <f>(Master!G67/Master!$G83)</f>
        <v>1.0771737837296958E-4</v>
      </c>
      <c r="M18" s="192" t="s">
        <v>161</v>
      </c>
      <c r="N18" s="193"/>
      <c r="O18" s="193"/>
      <c r="P18" s="193"/>
      <c r="Q18" s="193"/>
      <c r="R18" s="194"/>
      <c r="S18" s="112">
        <f>(Master!K66/Master!$K57)</f>
        <v>0.13842620249372628</v>
      </c>
      <c r="T18" s="112">
        <f>(Master!L66/Master!$L57)</f>
        <v>0.15700427530559402</v>
      </c>
      <c r="U18" s="112">
        <f>(Master!M66/Master!$M57)</f>
        <v>0.15862274137835664</v>
      </c>
      <c r="V18" s="112">
        <f>(Master!N66/Master!$N57)</f>
        <v>0.14684315869812148</v>
      </c>
      <c r="W18" s="121">
        <f>(Master!O66/Master!$O57)</f>
        <v>0.1234457694930753</v>
      </c>
    </row>
    <row r="19" spans="1:23" ht="16" x14ac:dyDescent="0.2">
      <c r="A19" s="223" t="s">
        <v>107</v>
      </c>
      <c r="B19" s="224"/>
      <c r="C19" s="224"/>
      <c r="D19" s="224"/>
      <c r="E19" s="225"/>
      <c r="F19" s="112">
        <f>(Master!C68/Master!$C83)</f>
        <v>1.0121465973852669E-3</v>
      </c>
      <c r="G19" s="112">
        <f>(Master!D68/Master!$D83)</f>
        <v>8.0692110730911648E-3</v>
      </c>
      <c r="H19" s="112">
        <f>(Master!E68/Master!$E83)</f>
        <v>3.4105457583836297E-2</v>
      </c>
      <c r="I19" s="112">
        <f>(Master!F68/Master!$F83)</f>
        <v>2.7913488831831201E-2</v>
      </c>
      <c r="J19" s="112">
        <f>(Master!G68/Master!$G83)</f>
        <v>1.8413400484543756E-3</v>
      </c>
      <c r="M19" s="195" t="s">
        <v>162</v>
      </c>
      <c r="N19" s="196"/>
      <c r="O19" s="196"/>
      <c r="P19" s="196"/>
      <c r="Q19" s="196"/>
      <c r="R19" s="197"/>
      <c r="S19" s="113">
        <f>(Master!K67/Master!$K57)</f>
        <v>0.66848914921778702</v>
      </c>
      <c r="T19" s="113">
        <f>(Master!L67/Master!$L57)</f>
        <v>0.61263483270106989</v>
      </c>
      <c r="U19" s="113">
        <f>(Master!M67/Master!$M57)</f>
        <v>0.61788753137888075</v>
      </c>
      <c r="V19" s="113">
        <f>(Master!N67/Master!$N57)</f>
        <v>0.647424250495098</v>
      </c>
      <c r="W19" s="123">
        <f>(Master!O67/Master!$O57)</f>
        <v>0.73007521454487956</v>
      </c>
    </row>
    <row r="20" spans="1:23" ht="15.75" customHeight="1" x14ac:dyDescent="0.2">
      <c r="A20" s="226" t="s">
        <v>109</v>
      </c>
      <c r="B20" s="227"/>
      <c r="C20" s="227"/>
      <c r="D20" s="227"/>
      <c r="E20" s="228"/>
      <c r="F20" s="112">
        <f>(Master!C69/Master!$C83)</f>
        <v>1.7206073047227637E-2</v>
      </c>
      <c r="G20" s="112">
        <f>(Master!D69/Master!$D83)</f>
        <v>1.813921007356116E-2</v>
      </c>
      <c r="H20" s="112">
        <f>(Master!E69/Master!$E83)</f>
        <v>2.6978597643024314E-2</v>
      </c>
      <c r="I20" s="112">
        <f>(Master!F69/Master!$F83)</f>
        <v>3.247174514289617E-2</v>
      </c>
      <c r="J20" s="112">
        <f>(Master!G69/Master!$G83)</f>
        <v>0</v>
      </c>
      <c r="M20" s="256" t="s">
        <v>163</v>
      </c>
      <c r="N20" s="257"/>
      <c r="O20" s="257"/>
      <c r="P20" s="257"/>
      <c r="Q20" s="257"/>
      <c r="R20" s="258"/>
      <c r="S20" s="113">
        <f>(Master!K68/Master!$K57)</f>
        <v>0.33151085078221304</v>
      </c>
      <c r="T20" s="113">
        <f>(Master!L68/Master!$L57)</f>
        <v>0.38736516729893011</v>
      </c>
      <c r="U20" s="113">
        <f>(Master!M68/Master!$M57)</f>
        <v>0.38211246862111919</v>
      </c>
      <c r="V20" s="113">
        <f>(Master!N68/Master!$N57)</f>
        <v>0.352575749504902</v>
      </c>
      <c r="W20" s="123">
        <f>(Master!O68/Master!$O57)</f>
        <v>0.26992478545512044</v>
      </c>
    </row>
    <row r="21" spans="1:23" ht="16" x14ac:dyDescent="0.2">
      <c r="A21" s="238" t="s">
        <v>237</v>
      </c>
      <c r="B21" s="239"/>
      <c r="C21" s="239"/>
      <c r="D21" s="239"/>
      <c r="E21" s="240"/>
      <c r="F21" s="112">
        <f>(Master!C70/Master!$C83)</f>
        <v>0</v>
      </c>
      <c r="G21" s="112">
        <f>(Master!D70/Master!$D83)</f>
        <v>0</v>
      </c>
      <c r="H21" s="112">
        <f>(Master!E70/Master!$E83)</f>
        <v>0</v>
      </c>
      <c r="I21" s="112">
        <f>(Master!F70/Master!$F83)</f>
        <v>2.9912805614373919E-4</v>
      </c>
      <c r="J21" s="112">
        <f>(Master!G70/Master!$G83)</f>
        <v>4.9249713414594783E-2</v>
      </c>
      <c r="M21" s="192" t="s">
        <v>164</v>
      </c>
      <c r="N21" s="193"/>
      <c r="O21" s="193"/>
      <c r="P21" s="193"/>
      <c r="Q21" s="193"/>
      <c r="R21" s="194"/>
      <c r="S21" s="112">
        <f>(Master!K69/Master!$K57)</f>
        <v>0</v>
      </c>
      <c r="T21" s="112">
        <f>(Master!L69/Master!$L57)</f>
        <v>-2.6516930611589491E-3</v>
      </c>
      <c r="U21" s="112">
        <f>(Master!M69/Master!$M57)</f>
        <v>0</v>
      </c>
      <c r="V21" s="112">
        <f>(Master!N69/Master!$N57)</f>
        <v>8.9045389857710672E-3</v>
      </c>
      <c r="W21" s="121">
        <f>(Master!O69/Master!$O57)</f>
        <v>0</v>
      </c>
    </row>
    <row r="22" spans="1:23" ht="16" x14ac:dyDescent="0.2">
      <c r="A22" s="204" t="s">
        <v>270</v>
      </c>
      <c r="B22" s="205"/>
      <c r="C22" s="205"/>
      <c r="D22" s="205"/>
      <c r="E22" s="206"/>
      <c r="F22" s="112">
        <f>(Master!C71/Master!$C83)</f>
        <v>0.55552975710996311</v>
      </c>
      <c r="G22" s="112">
        <f>(Master!D71/Master!$D83)</f>
        <v>0.5147639354686413</v>
      </c>
      <c r="H22" s="112">
        <f>(Master!E71/Master!$E83)</f>
        <v>0.57636330710141503</v>
      </c>
      <c r="I22" s="112">
        <f>(Master!F71/Master!$F83)</f>
        <v>0.6072060686125379</v>
      </c>
      <c r="J22" s="112">
        <f>(Master!G71/Master!$G83)</f>
        <v>0.5474138145693288</v>
      </c>
      <c r="M22" s="259" t="s">
        <v>169</v>
      </c>
      <c r="N22" s="260"/>
      <c r="O22" s="260"/>
      <c r="P22" s="260"/>
      <c r="Q22" s="260"/>
      <c r="R22" s="261"/>
      <c r="S22" s="113">
        <f>(Master!K70/Master!$K57)</f>
        <v>0.33151085078221304</v>
      </c>
      <c r="T22" s="113">
        <f>(Master!L70/Master!$L57)</f>
        <v>0.38471347423777119</v>
      </c>
      <c r="U22" s="113">
        <f>(Master!M70/Master!$M68)</f>
        <v>1</v>
      </c>
      <c r="V22" s="113">
        <f>(Master!N70/Master!$N57)</f>
        <v>0.36342121488621537</v>
      </c>
      <c r="W22" s="123">
        <f>(Master!O70/Master!$O57)</f>
        <v>0.26992478545512044</v>
      </c>
    </row>
    <row r="23" spans="1:23" ht="16" x14ac:dyDescent="0.2">
      <c r="A23" s="204" t="s">
        <v>110</v>
      </c>
      <c r="B23" s="205"/>
      <c r="C23" s="205"/>
      <c r="D23" s="205"/>
      <c r="E23" s="206"/>
      <c r="F23" s="112"/>
      <c r="G23" s="112"/>
      <c r="H23" s="112"/>
      <c r="I23" s="111"/>
      <c r="J23" s="111"/>
      <c r="M23" s="192" t="s">
        <v>165</v>
      </c>
      <c r="N23" s="193"/>
      <c r="O23" s="193"/>
      <c r="P23" s="193"/>
      <c r="Q23" s="193"/>
      <c r="R23" s="194"/>
      <c r="S23" s="112"/>
      <c r="T23" s="111"/>
      <c r="U23" s="111"/>
      <c r="V23" s="111"/>
      <c r="W23" s="111"/>
    </row>
    <row r="24" spans="1:23" ht="16" x14ac:dyDescent="0.2">
      <c r="A24" s="241" t="s">
        <v>111</v>
      </c>
      <c r="B24" s="242"/>
      <c r="C24" s="242"/>
      <c r="D24" s="242"/>
      <c r="E24" s="243"/>
      <c r="F24" s="112">
        <f>(Master!C73/Master!$C83)</f>
        <v>0.13231068108734581</v>
      </c>
      <c r="G24" s="112">
        <f>(Master!D73/Master!$D83)</f>
        <v>0.10683899166562108</v>
      </c>
      <c r="H24" s="112">
        <f>(Master!E73/Master!$E83)</f>
        <v>0.10870295275274676</v>
      </c>
      <c r="I24" s="112">
        <f>(Master!F73/Master!$F83)</f>
        <v>0.11601471658738811</v>
      </c>
      <c r="J24" s="112">
        <f>(Master!G73/Master!$G83)</f>
        <v>0.14504938122452896</v>
      </c>
      <c r="M24" s="192" t="s">
        <v>166</v>
      </c>
      <c r="N24" s="193"/>
      <c r="O24" s="193"/>
      <c r="P24" s="193"/>
      <c r="Q24" s="193"/>
      <c r="R24" s="194"/>
      <c r="S24" s="112">
        <f>(Master!K72/Master!$K57)</f>
        <v>7.7939520850872995E-2</v>
      </c>
      <c r="T24" s="112">
        <f>(Master!L72/Master!$L57)</f>
        <v>8.9158587744123968E-2</v>
      </c>
      <c r="U24" s="112">
        <f>(Master!M72/Master!$M57)</f>
        <v>0.12118022918676671</v>
      </c>
      <c r="V24" s="112">
        <f>(Master!N72/Master!$N57)</f>
        <v>0.12076508730610415</v>
      </c>
      <c r="W24" s="121">
        <f>(Master!O72/Master!$O57)</f>
        <v>9.2029389370859291E-2</v>
      </c>
    </row>
    <row r="25" spans="1:23" ht="16" x14ac:dyDescent="0.2">
      <c r="A25" s="204" t="s">
        <v>263</v>
      </c>
      <c r="B25" s="205"/>
      <c r="C25" s="205"/>
      <c r="D25" s="205"/>
      <c r="E25" s="206"/>
      <c r="F25" s="112"/>
      <c r="G25" s="112"/>
      <c r="H25" s="112"/>
      <c r="I25" s="111"/>
      <c r="J25" s="111"/>
      <c r="M25" s="192" t="s">
        <v>167</v>
      </c>
      <c r="N25" s="193"/>
      <c r="O25" s="193"/>
      <c r="P25" s="193"/>
      <c r="Q25" s="193"/>
      <c r="R25" s="194"/>
      <c r="S25" s="112">
        <f>(Master!K73/Master!$K57)</f>
        <v>1.8763690106117698E-3</v>
      </c>
      <c r="T25" s="112">
        <f>(Master!L73/Master!$L57)</f>
        <v>-8.2537484193412405E-3</v>
      </c>
      <c r="U25" s="112">
        <f>(Master!M73/Master!$M57)</f>
        <v>2.705674229778866E-3</v>
      </c>
      <c r="V25" s="112">
        <f>(Master!N73/Master!$N57)</f>
        <v>6.1721459378243635E-4</v>
      </c>
      <c r="W25" s="121">
        <f>(Master!O73/Master!$O57)</f>
        <v>2.8571741972620226E-4</v>
      </c>
    </row>
    <row r="26" spans="1:23" ht="16" x14ac:dyDescent="0.2">
      <c r="A26" s="241" t="s">
        <v>103</v>
      </c>
      <c r="B26" s="242"/>
      <c r="C26" s="242"/>
      <c r="D26" s="242"/>
      <c r="E26" s="243"/>
      <c r="F26" s="112">
        <f>(Master!C75/Master!$C83)</f>
        <v>0.19623643520990477</v>
      </c>
      <c r="G26" s="112">
        <f>(Master!D75/Master!$D83)</f>
        <v>0.22828388140895456</v>
      </c>
      <c r="H26" s="112">
        <f>(Master!E75/Master!$E83)</f>
        <v>0.17918227362649197</v>
      </c>
      <c r="I26" s="112">
        <f>(Master!F75/Master!$F83)</f>
        <v>0.15875668529564385</v>
      </c>
      <c r="J26" s="112">
        <f>(Master!G75/Master!$G83)</f>
        <v>0.18628798351776554</v>
      </c>
      <c r="M26" s="195" t="s">
        <v>168</v>
      </c>
      <c r="N26" s="196"/>
      <c r="O26" s="196"/>
      <c r="P26" s="196"/>
      <c r="Q26" s="196"/>
      <c r="R26" s="197"/>
      <c r="S26" s="113">
        <f>(Master!K74/Master!$K57)</f>
        <v>0.25169496092072829</v>
      </c>
      <c r="T26" s="113">
        <f>(Master!L74/Master!$L57)</f>
        <v>0.30380863491298843</v>
      </c>
      <c r="U26" s="113">
        <f>(Master!M74/Master!$M57)</f>
        <v>0.2582265652045736</v>
      </c>
      <c r="V26" s="113">
        <f>(Master!N74/Master!$N57)</f>
        <v>0.24203891298632876</v>
      </c>
      <c r="W26" s="123">
        <f>(Master!O74/Master!$O57)</f>
        <v>0.17760967866453495</v>
      </c>
    </row>
    <row r="27" spans="1:23" ht="16" x14ac:dyDescent="0.2">
      <c r="A27" s="241" t="s">
        <v>114</v>
      </c>
      <c r="B27" s="242"/>
      <c r="C27" s="242"/>
      <c r="D27" s="242"/>
      <c r="E27" s="243"/>
      <c r="F27" s="112">
        <f>(Master!C76/Master!$C83)</f>
        <v>2.9202769356028883E-2</v>
      </c>
      <c r="G27" s="112">
        <f>(Master!D76/Master!$D83)</f>
        <v>2.7806074165126617E-2</v>
      </c>
      <c r="H27" s="112">
        <f>(Master!E76/Master!$E83)</f>
        <v>5.2239665594619428E-2</v>
      </c>
      <c r="I27" s="112">
        <f>(Master!F76/Master!$F83)</f>
        <v>3.7783913162452026E-2</v>
      </c>
      <c r="J27" s="112">
        <f>(Master!G76/Master!$G83)</f>
        <v>4.0716800129851086E-2</v>
      </c>
      <c r="M27" s="195" t="s">
        <v>170</v>
      </c>
      <c r="N27" s="196"/>
      <c r="O27" s="196"/>
      <c r="P27" s="196"/>
      <c r="Q27" s="196"/>
      <c r="R27" s="197"/>
      <c r="S27" s="112"/>
      <c r="T27" s="111"/>
      <c r="U27" s="111"/>
      <c r="V27" s="111"/>
      <c r="W27" s="111"/>
    </row>
    <row r="28" spans="1:23" ht="15.75" customHeight="1" x14ac:dyDescent="0.2">
      <c r="A28" s="241" t="s">
        <v>116</v>
      </c>
      <c r="B28" s="242"/>
      <c r="C28" s="242"/>
      <c r="D28" s="242"/>
      <c r="E28" s="243"/>
      <c r="F28" s="112">
        <f>(Master!C77/Master!$C83)</f>
        <v>3.2306266479688469E-3</v>
      </c>
      <c r="G28" s="112">
        <f>(Master!D77/Master!$D83)</f>
        <v>7.467765157234579E-3</v>
      </c>
      <c r="H28" s="112">
        <f>(Master!E77/Master!$E83)</f>
        <v>2.3311582923961054E-3</v>
      </c>
      <c r="I28" s="112">
        <f>(Master!F77/Master!$F83)</f>
        <v>1.5394033886111081E-3</v>
      </c>
      <c r="J28" s="112">
        <f>(Master!G77/Master!$G83)</f>
        <v>2.8801487385169866E-3</v>
      </c>
      <c r="M28" s="213" t="s">
        <v>174</v>
      </c>
      <c r="N28" s="214"/>
      <c r="O28" s="214"/>
      <c r="P28" s="214"/>
      <c r="Q28" s="214"/>
      <c r="R28" s="215"/>
      <c r="S28" s="112"/>
      <c r="T28" s="111"/>
      <c r="U28" s="111"/>
      <c r="V28" s="111"/>
      <c r="W28" s="111"/>
    </row>
    <row r="29" spans="1:23" ht="15.75" customHeight="1" x14ac:dyDescent="0.2">
      <c r="A29" s="241" t="s">
        <v>118</v>
      </c>
      <c r="B29" s="242"/>
      <c r="C29" s="242"/>
      <c r="D29" s="242"/>
      <c r="E29" s="243"/>
      <c r="F29" s="112">
        <f>(Master!C78/Master!$C83)</f>
        <v>5.2671438354614249E-2</v>
      </c>
      <c r="G29" s="112">
        <f>(Master!D78/Master!$D83)</f>
        <v>8.3490396005282644E-2</v>
      </c>
      <c r="H29" s="112">
        <f>(Master!E78/Master!$E83)</f>
        <v>5.1663717199595623E-2</v>
      </c>
      <c r="I29" s="112">
        <f>(Master!F78/Master!$F83)</f>
        <v>4.0057671119763279E-2</v>
      </c>
      <c r="J29" s="112">
        <f>(Master!G78/Master!$G83)</f>
        <v>4.7792577645508379E-2</v>
      </c>
      <c r="M29" s="213" t="s">
        <v>171</v>
      </c>
      <c r="N29" s="214"/>
      <c r="O29" s="214"/>
      <c r="P29" s="214"/>
      <c r="Q29" s="214"/>
      <c r="R29" s="215"/>
      <c r="S29" s="112">
        <f>(Master!K77/Master!$K57)</f>
        <v>-5.8135570992706405E-4</v>
      </c>
      <c r="T29" s="112">
        <f>(Master!L77/Master!$L57)</f>
        <v>-2.5107886232713112E-3</v>
      </c>
      <c r="U29" s="112">
        <f>(Master!M77/Master!$M57)</f>
        <v>1.9184183283118146E-4</v>
      </c>
      <c r="V29" s="112">
        <f>(Master!N77/Master!$N57)</f>
        <v>1.7431675616853366E-3</v>
      </c>
      <c r="W29" s="121">
        <f>(Master!O77/Master!$O57)</f>
        <v>-4.8681651770533915E-4</v>
      </c>
    </row>
    <row r="30" spans="1:23" ht="16" x14ac:dyDescent="0.2">
      <c r="A30" s="241" t="s">
        <v>105</v>
      </c>
      <c r="B30" s="242"/>
      <c r="C30" s="242"/>
      <c r="D30" s="242"/>
      <c r="E30" s="243"/>
      <c r="F30" s="112">
        <f>(Master!C79/Master!$C83)</f>
        <v>3.8697668388643056E-5</v>
      </c>
      <c r="G30" s="112">
        <f>(Master!D79/Master!$D83)</f>
        <v>6.4730201330863587E-5</v>
      </c>
      <c r="H30" s="112">
        <f>(Master!E79/Master!$E83)</f>
        <v>7.1921914005460311E-5</v>
      </c>
      <c r="I30" s="112">
        <f>(Master!F79/Master!$F83)</f>
        <v>6.6526336173446834E-5</v>
      </c>
      <c r="J30" s="112">
        <f>(Master!G79/Master!$G83)</f>
        <v>6.2158829643306078E-5</v>
      </c>
      <c r="M30" s="192" t="s">
        <v>172</v>
      </c>
      <c r="N30" s="193"/>
      <c r="O30" s="193"/>
      <c r="P30" s="193"/>
      <c r="Q30" s="193"/>
      <c r="R30" s="194"/>
      <c r="S30" s="112">
        <f>(Master!K78/Master!$K57)</f>
        <v>4.8671640831103036E-3</v>
      </c>
      <c r="T30" s="112">
        <f>(Master!L78/Master!$L57)</f>
        <v>-2.4867826820015659E-2</v>
      </c>
      <c r="U30" s="112">
        <f>(Master!M78/Master!$M57)</f>
        <v>7.6676653076834314E-3</v>
      </c>
      <c r="V30" s="112">
        <f>(Master!N78/Master!$N57)</f>
        <v>7.2267159460689886E-3</v>
      </c>
      <c r="W30" s="121">
        <f>(Master!O78/Master!$O57)</f>
        <v>2.2625824919817175E-3</v>
      </c>
    </row>
    <row r="31" spans="1:23" ht="15.75" customHeight="1" x14ac:dyDescent="0.2">
      <c r="A31" s="241" t="s">
        <v>107</v>
      </c>
      <c r="B31" s="242"/>
      <c r="C31" s="242"/>
      <c r="D31" s="242"/>
      <c r="E31" s="243"/>
      <c r="F31" s="112">
        <f>(Master!C80/Master!$C83)</f>
        <v>1.6724517585366076E-2</v>
      </c>
      <c r="G31" s="112">
        <f>(Master!D80/Master!$D83)</f>
        <v>2.0016385912156202E-2</v>
      </c>
      <c r="H31" s="112">
        <f>(Master!E80/Master!$E83)</f>
        <v>1.9488976175794346E-2</v>
      </c>
      <c r="I31" s="112">
        <f>(Master!F80/Master!$F83)</f>
        <v>1.840214641212248E-2</v>
      </c>
      <c r="J31" s="112">
        <f>(Master!G80/Master!$G83)</f>
        <v>1.8535320325476175E-2</v>
      </c>
      <c r="M31" s="213" t="s">
        <v>173</v>
      </c>
      <c r="N31" s="214"/>
      <c r="O31" s="214"/>
      <c r="P31" s="214"/>
      <c r="Q31" s="214"/>
      <c r="R31" s="215"/>
      <c r="S31" s="112">
        <f>(Master!K79/Master!$K57)</f>
        <v>-1.2824591076131909E-4</v>
      </c>
      <c r="T31" s="112">
        <f>(Master!L79/Master!$L57)</f>
        <v>-2.5892695851147108E-5</v>
      </c>
      <c r="U31" s="112">
        <f>(Master!M79/Master!$M57)</f>
        <v>-4.3609833489161661E-4</v>
      </c>
      <c r="V31" s="112">
        <f>(Master!N79/Master!$N57)</f>
        <v>2.2191258455699756E-4</v>
      </c>
      <c r="W31" s="121">
        <f>(Master!O79/Master!$O57)</f>
        <v>-1.0653899398565701E-3</v>
      </c>
    </row>
    <row r="32" spans="1:23" ht="16" x14ac:dyDescent="0.2">
      <c r="A32" s="241" t="s">
        <v>121</v>
      </c>
      <c r="B32" s="242"/>
      <c r="C32" s="242"/>
      <c r="D32" s="242"/>
      <c r="E32" s="243"/>
      <c r="F32" s="112">
        <f>(Master!C81/Master!$C83)</f>
        <v>1.4055076980419537E-2</v>
      </c>
      <c r="G32" s="112">
        <f>(Master!D81/Master!$D83)</f>
        <v>1.1267840015652217E-2</v>
      </c>
      <c r="H32" s="112">
        <f>(Master!E81/Master!$E83)</f>
        <v>9.9560273429351448E-3</v>
      </c>
      <c r="I32" s="112">
        <f>(Master!F81/Master!$F83)</f>
        <v>2.0172869085307764E-2</v>
      </c>
      <c r="J32" s="112">
        <f>(Master!G81/Master!$G83)</f>
        <v>1.126181501938083E-2</v>
      </c>
      <c r="M32" s="192" t="s">
        <v>175</v>
      </c>
      <c r="N32" s="193"/>
      <c r="O32" s="193"/>
      <c r="P32" s="193"/>
      <c r="Q32" s="193"/>
      <c r="R32" s="194"/>
      <c r="S32" s="112">
        <f>(Master!K80/Master!$K57)</f>
        <v>9.4639301616033676E-6</v>
      </c>
      <c r="T32" s="112">
        <f>(Master!L80/Master!$L57)</f>
        <v>1.9309126673491096E-4</v>
      </c>
      <c r="U32" s="112">
        <f>(Master!M80/Master!$M57)</f>
        <v>7.6446691484563666E-5</v>
      </c>
      <c r="V32" s="112">
        <f>(Master!N80/Master!$N57)</f>
        <v>-6.8169648181211785E-4</v>
      </c>
      <c r="W32" s="121">
        <f>(Master!O80/Master!$O57)</f>
        <v>4.2169871455019004E-4</v>
      </c>
    </row>
    <row r="33" spans="1:23" ht="15.75" customHeight="1" x14ac:dyDescent="0.2">
      <c r="A33" s="204" t="s">
        <v>265</v>
      </c>
      <c r="B33" s="205"/>
      <c r="C33" s="205"/>
      <c r="D33" s="205"/>
      <c r="E33" s="206"/>
      <c r="F33" s="112">
        <f>(Master!C82/Master!$C83)</f>
        <v>0.44447024289003684</v>
      </c>
      <c r="G33" s="112">
        <f>(Master!D82/Master!$D83)</f>
        <v>0.48523606453135881</v>
      </c>
      <c r="H33" s="112">
        <f>(Master!E82/Master!$E83)</f>
        <v>0.42363669289858491</v>
      </c>
      <c r="I33" s="112">
        <f>(Master!F82/Master!$F83)</f>
        <v>0.39279393138746205</v>
      </c>
      <c r="J33" s="116">
        <f>(Master!G82/Master!$G83)</f>
        <v>0.45258618543067125</v>
      </c>
      <c r="M33" s="213" t="s">
        <v>176</v>
      </c>
      <c r="N33" s="214"/>
      <c r="O33" s="214"/>
      <c r="P33" s="214"/>
      <c r="Q33" s="214"/>
      <c r="R33" s="215"/>
      <c r="S33" s="112"/>
      <c r="T33" s="111"/>
      <c r="U33" s="111"/>
      <c r="V33" s="111"/>
      <c r="W33" s="111"/>
    </row>
    <row r="34" spans="1:23" ht="15.75" customHeight="1" x14ac:dyDescent="0.2">
      <c r="A34" s="204" t="s">
        <v>264</v>
      </c>
      <c r="B34" s="205"/>
      <c r="C34" s="205"/>
      <c r="D34" s="205"/>
      <c r="E34" s="206"/>
      <c r="F34" s="113">
        <f>(Master!C83/Master!$C83)</f>
        <v>1</v>
      </c>
      <c r="G34" s="113">
        <f>(Master!D83/Master!$D83)</f>
        <v>1</v>
      </c>
      <c r="H34" s="113">
        <f>(Master!E83/Master!$E83)</f>
        <v>1</v>
      </c>
      <c r="I34" s="113">
        <f>(Master!F83/Master!$F83)</f>
        <v>1</v>
      </c>
      <c r="J34" s="113">
        <f>(Master!G83/Master!$G83)</f>
        <v>1</v>
      </c>
      <c r="M34" s="213" t="s">
        <v>173</v>
      </c>
      <c r="N34" s="214"/>
      <c r="O34" s="214"/>
      <c r="P34" s="214"/>
      <c r="Q34" s="214"/>
      <c r="R34" s="215"/>
      <c r="S34" s="112">
        <f>(Master!K82/Master!$K57)</f>
        <v>7.8724447629990456E-4</v>
      </c>
      <c r="T34" s="112">
        <f>(Master!L82/Master!$L57)</f>
        <v>-7.2740410670199312E-4</v>
      </c>
      <c r="U34" s="112">
        <f>(Master!M82/Master!$M57)</f>
        <v>1.7609671480184044E-5</v>
      </c>
      <c r="V34" s="112">
        <f>(Master!N82/Master!$N57)</f>
        <v>-4.0306571480760783E-4</v>
      </c>
      <c r="W34" s="121">
        <f>(Master!O82/Master!$O57)</f>
        <v>3.1845043307691891E-4</v>
      </c>
    </row>
    <row r="35" spans="1:23" x14ac:dyDescent="0.2">
      <c r="A35" s="192"/>
      <c r="B35" s="193"/>
      <c r="C35" s="193"/>
      <c r="D35" s="193"/>
      <c r="E35" s="194"/>
      <c r="F35" s="112"/>
      <c r="G35" s="114"/>
      <c r="H35" s="111"/>
      <c r="I35" s="111"/>
      <c r="J35" s="111"/>
      <c r="M35" s="192" t="s">
        <v>177</v>
      </c>
      <c r="N35" s="193"/>
      <c r="O35" s="193"/>
      <c r="P35" s="193"/>
      <c r="Q35" s="193"/>
      <c r="R35" s="194"/>
      <c r="S35" s="112">
        <f>(Master!K83/Master!$K57)</f>
        <v>-1.9816310909806235E-4</v>
      </c>
      <c r="T35" s="112">
        <f>(Master!L83/Master!$L57)</f>
        <v>2.0332791393187614E-4</v>
      </c>
      <c r="U35" s="112">
        <f>(Master!M83/Master!$M57)</f>
        <v>-6.2151781694767213E-6</v>
      </c>
      <c r="V35" s="112">
        <f>(Master!N83/Master!$N57)</f>
        <v>1.384527495486807E-4</v>
      </c>
      <c r="W35" s="121">
        <f>(Master!O83/Master!$O57)</f>
        <v>-1.0986452885267131E-4</v>
      </c>
    </row>
    <row r="36" spans="1:23" ht="16" x14ac:dyDescent="0.2">
      <c r="A36" s="204" t="s">
        <v>123</v>
      </c>
      <c r="B36" s="205"/>
      <c r="C36" s="205"/>
      <c r="D36" s="205"/>
      <c r="E36" s="206"/>
      <c r="F36" s="112"/>
      <c r="G36" s="114"/>
      <c r="H36" s="111"/>
      <c r="I36" s="111"/>
      <c r="J36" s="111"/>
      <c r="M36" s="195" t="s">
        <v>170</v>
      </c>
      <c r="N36" s="196"/>
      <c r="O36" s="196"/>
      <c r="P36" s="196"/>
      <c r="Q36" s="196"/>
      <c r="R36" s="197"/>
      <c r="S36" s="113">
        <f>(Master!K84/Master!$K57)</f>
        <v>4.7561077597853673E-3</v>
      </c>
      <c r="T36" s="113">
        <f>(Master!L84/Master!$L57)</f>
        <v>-2.7735493065173318E-2</v>
      </c>
      <c r="U36" s="113">
        <f>(Master!M84/Master!$M57)</f>
        <v>7.5112499904182667E-3</v>
      </c>
      <c r="V36" s="113">
        <f>(Master!N84/Master!$N57)</f>
        <v>8.2454866452402777E-3</v>
      </c>
      <c r="W36" s="123">
        <f>(Master!O84/Master!$O57)</f>
        <v>1.3406606531942452E-3</v>
      </c>
    </row>
    <row r="37" spans="1:23" ht="17" thickBot="1" x14ac:dyDescent="0.25">
      <c r="A37" s="204" t="s">
        <v>124</v>
      </c>
      <c r="B37" s="205"/>
      <c r="C37" s="205"/>
      <c r="D37" s="205"/>
      <c r="E37" s="206"/>
      <c r="F37" s="112"/>
      <c r="G37" s="114"/>
      <c r="H37" s="111"/>
      <c r="I37" s="111"/>
      <c r="J37" s="111"/>
      <c r="M37" s="198" t="s">
        <v>181</v>
      </c>
      <c r="N37" s="199"/>
      <c r="O37" s="199"/>
      <c r="P37" s="199"/>
      <c r="Q37" s="199"/>
      <c r="R37" s="200"/>
      <c r="S37" s="115">
        <f>(Master!K85/Master!$K57)</f>
        <v>0.25645106868051365</v>
      </c>
      <c r="T37" s="115">
        <f>(Master!L85/Master!$L57)</f>
        <v>0.27607314184781512</v>
      </c>
      <c r="U37" s="115">
        <f>(Master!M85/Master!$M57)</f>
        <v>0.2657378151949919</v>
      </c>
      <c r="V37" s="115">
        <f>(Master!N85/Master!$N57)</f>
        <v>0.25028439963156907</v>
      </c>
      <c r="W37" s="124">
        <f>(Master!O85/Master!$O57)</f>
        <v>0.17895033931772919</v>
      </c>
    </row>
    <row r="38" spans="1:23" x14ac:dyDescent="0.2">
      <c r="A38" s="192" t="s">
        <v>125</v>
      </c>
      <c r="B38" s="193"/>
      <c r="C38" s="193"/>
      <c r="D38" s="193"/>
      <c r="E38" s="194"/>
      <c r="F38" s="112">
        <f>(Master!C87/Master!$C110)</f>
        <v>1.7195735041954142E-2</v>
      </c>
      <c r="G38" s="112">
        <f>(Master!D87/Master!$D110)</f>
        <v>1.6338328147828363E-2</v>
      </c>
      <c r="H38" s="112">
        <f>(Master!E87/Master!$E110)</f>
        <v>1.7562987550345337E-2</v>
      </c>
      <c r="I38" s="112">
        <f>(Master!F87/Master!$F110)</f>
        <v>1.9564032881002339E-2</v>
      </c>
      <c r="J38" s="112">
        <f>(Master!G87/Master!$G110)</f>
        <v>2.2405583596709088E-2</v>
      </c>
    </row>
    <row r="39" spans="1:23" x14ac:dyDescent="0.2">
      <c r="A39" s="192" t="s">
        <v>126</v>
      </c>
      <c r="B39" s="193"/>
      <c r="C39" s="193"/>
      <c r="D39" s="193"/>
      <c r="E39" s="194"/>
      <c r="F39" s="112">
        <f>(Master!C88/Master!$C110)</f>
        <v>0.8071146152292229</v>
      </c>
      <c r="G39" s="112">
        <f>(Master!D88/Master!$D110)</f>
        <v>0.83471309235444613</v>
      </c>
      <c r="H39" s="112">
        <f>(Master!E88/Master!$E110)</f>
        <v>0.81268797121748038</v>
      </c>
      <c r="I39" s="112">
        <f>(Master!F88/Master!$F110)</f>
        <v>0.80440183125362386</v>
      </c>
      <c r="J39" s="112">
        <f>(Master!G88/Master!$G110)</f>
        <v>0.81389738628577024</v>
      </c>
    </row>
    <row r="40" spans="1:23" ht="16" x14ac:dyDescent="0.2">
      <c r="A40" s="244" t="s">
        <v>267</v>
      </c>
      <c r="B40" s="245"/>
      <c r="C40" s="245"/>
      <c r="D40" s="245"/>
      <c r="E40" s="246"/>
      <c r="F40" s="113">
        <f>(Master!C89/Master!$C110)</f>
        <v>0.82431035027117705</v>
      </c>
      <c r="G40" s="113">
        <f>(Master!D89/Master!$D110)</f>
        <v>0.85105142050227445</v>
      </c>
      <c r="H40" s="113">
        <f>(Master!E89/Master!$E110)</f>
        <v>0.83025095876782573</v>
      </c>
      <c r="I40" s="113">
        <f>(Master!F89/Master!$F110)</f>
        <v>0.82396586413462625</v>
      </c>
      <c r="J40" s="113">
        <f>(Master!G89/Master!$G110)</f>
        <v>0.83630296988247921</v>
      </c>
    </row>
    <row r="41" spans="1:23" x14ac:dyDescent="0.2">
      <c r="A41" s="192"/>
      <c r="B41" s="193"/>
      <c r="C41" s="193"/>
      <c r="D41" s="193"/>
      <c r="E41" s="194"/>
      <c r="F41" s="112"/>
      <c r="G41" s="112"/>
      <c r="H41" s="112"/>
      <c r="I41" s="111"/>
      <c r="J41" s="111"/>
    </row>
    <row r="42" spans="1:23" ht="18" x14ac:dyDescent="0.2">
      <c r="A42" s="207" t="s">
        <v>127</v>
      </c>
      <c r="B42" s="208"/>
      <c r="C42" s="208"/>
      <c r="D42" s="208"/>
      <c r="E42" s="209"/>
      <c r="F42" s="112"/>
      <c r="G42" s="112"/>
      <c r="H42" s="112"/>
      <c r="I42" s="111"/>
      <c r="J42" s="111"/>
    </row>
    <row r="43" spans="1:23" ht="16" x14ac:dyDescent="0.2">
      <c r="A43" s="210" t="s">
        <v>138</v>
      </c>
      <c r="B43" s="211"/>
      <c r="C43" s="211"/>
      <c r="D43" s="211"/>
      <c r="E43" s="212"/>
      <c r="F43" s="112"/>
      <c r="G43" s="112"/>
      <c r="H43" s="112"/>
      <c r="I43" s="111"/>
      <c r="J43" s="111"/>
    </row>
    <row r="44" spans="1:23" ht="16" x14ac:dyDescent="0.2">
      <c r="A44" s="195" t="s">
        <v>128</v>
      </c>
      <c r="B44" s="196"/>
      <c r="C44" s="196"/>
      <c r="D44" s="196"/>
      <c r="E44" s="197"/>
      <c r="F44" s="112"/>
      <c r="G44" s="112"/>
      <c r="H44" s="112"/>
      <c r="I44" s="111"/>
      <c r="J44" s="111"/>
    </row>
    <row r="45" spans="1:23" x14ac:dyDescent="0.2">
      <c r="A45" s="192" t="s">
        <v>130</v>
      </c>
      <c r="B45" s="193"/>
      <c r="C45" s="193"/>
      <c r="D45" s="193"/>
      <c r="E45" s="194"/>
      <c r="F45" s="112">
        <f>(Master!C93/Master!$C110)</f>
        <v>7.3763064654164392E-5</v>
      </c>
      <c r="G45" s="112">
        <f>(Master!D93/Master!$D110)</f>
        <v>7.4831834392764248E-5</v>
      </c>
      <c r="H45" s="112">
        <f>(Master!E93/Master!$E110)</f>
        <v>1.1304061782929921E-4</v>
      </c>
      <c r="I45" s="112">
        <f>(Master!F93/Master!$F110)</f>
        <v>1.7841882448444896E-4</v>
      </c>
      <c r="J45" s="112">
        <f>(Master!G93/Master!$G110)</f>
        <v>3.3182117070714427E-4</v>
      </c>
    </row>
    <row r="46" spans="1:23" x14ac:dyDescent="0.2">
      <c r="A46" s="192" t="s">
        <v>132</v>
      </c>
      <c r="B46" s="193"/>
      <c r="C46" s="193"/>
      <c r="D46" s="193"/>
      <c r="E46" s="194"/>
      <c r="F46" s="112">
        <f>(Master!C94/Master!$C110)</f>
        <v>3.8049447517439802E-3</v>
      </c>
      <c r="G46" s="112">
        <f>(Master!D94/Master!$D110)</f>
        <v>3.4458531201286202E-3</v>
      </c>
      <c r="H46" s="112">
        <f>(Master!E94/Master!$E110)</f>
        <v>6.0030442167904147E-4</v>
      </c>
      <c r="I46" s="112">
        <f>(Master!F94/Master!$F110)</f>
        <v>5.6683644508266975E-4</v>
      </c>
      <c r="J46" s="112">
        <f>(Master!G94/Master!$G110)</f>
        <v>1.6987620801627568E-4</v>
      </c>
    </row>
    <row r="47" spans="1:23" x14ac:dyDescent="0.2">
      <c r="A47" s="192" t="s">
        <v>134</v>
      </c>
      <c r="B47" s="193"/>
      <c r="C47" s="193"/>
      <c r="D47" s="193"/>
      <c r="E47" s="194"/>
      <c r="F47" s="112">
        <f>(Master!C95/Master!$C110)</f>
        <v>3.3437858948814863E-3</v>
      </c>
      <c r="G47" s="112">
        <f>(Master!D95/Master!$D110)</f>
        <v>1.2024930830396771E-3</v>
      </c>
      <c r="H47" s="112">
        <f>(Master!E95/Master!$E110)</f>
        <v>1.9003431620884977E-3</v>
      </c>
      <c r="I47" s="112">
        <f>(Master!F95/Master!$F110)</f>
        <v>1.9542712392541933E-3</v>
      </c>
      <c r="J47" s="112">
        <f>(Master!G95/Master!$G110)</f>
        <v>2.4230876706946942E-3</v>
      </c>
    </row>
    <row r="48" spans="1:23" x14ac:dyDescent="0.2">
      <c r="A48" s="192" t="s">
        <v>135</v>
      </c>
      <c r="B48" s="193"/>
      <c r="C48" s="193"/>
      <c r="D48" s="193"/>
      <c r="E48" s="194"/>
      <c r="F48" s="112">
        <f>(Master!C96/Master!$C110)</f>
        <v>2.1943114706874244E-3</v>
      </c>
      <c r="G48" s="112">
        <f>(Master!D96/Master!$D110)</f>
        <v>1.911202392066709E-3</v>
      </c>
      <c r="H48" s="112">
        <f>(Master!E96/Master!$E110)</f>
        <v>2.9286546074725438E-2</v>
      </c>
      <c r="I48" s="112">
        <f>(Master!F96/Master!$F110)</f>
        <v>3.0745426795301352E-2</v>
      </c>
      <c r="J48" s="112">
        <f>(Master!G96/Master!$G110)</f>
        <v>3.4523050873405341E-2</v>
      </c>
    </row>
    <row r="49" spans="1:10" x14ac:dyDescent="0.2">
      <c r="A49" s="192" t="s">
        <v>136</v>
      </c>
      <c r="B49" s="193"/>
      <c r="C49" s="193"/>
      <c r="D49" s="193"/>
      <c r="E49" s="194"/>
      <c r="F49" s="112">
        <f>(Master!C97/Master!$C110)</f>
        <v>2.4136867366465805E-2</v>
      </c>
      <c r="G49" s="112">
        <f>(Master!D97/Master!$D110)</f>
        <v>2.1501193056031102E-2</v>
      </c>
      <c r="H49" s="112">
        <f>(Master!E97/Master!$E110)</f>
        <v>0</v>
      </c>
      <c r="I49" s="112">
        <f>(Master!F97/Master!$F110)</f>
        <v>6.1396594588988265E-4</v>
      </c>
      <c r="J49" s="112">
        <f>(Master!G97/Master!$G110)</f>
        <v>2.7021568376095966E-4</v>
      </c>
    </row>
    <row r="50" spans="1:10" ht="16" x14ac:dyDescent="0.2">
      <c r="A50" s="204" t="s">
        <v>266</v>
      </c>
      <c r="B50" s="205"/>
      <c r="C50" s="205"/>
      <c r="D50" s="205"/>
      <c r="E50" s="206"/>
      <c r="F50" s="113">
        <f>(Master!C98/Master!$C110)</f>
        <v>3.3553672548432861E-2</v>
      </c>
      <c r="G50" s="113">
        <f>(Master!D98/Master!$D110)</f>
        <v>2.8135573485658871E-2</v>
      </c>
      <c r="H50" s="113">
        <f>(Master!E98/Master!$E110)</f>
        <v>3.1900234276322277E-2</v>
      </c>
      <c r="I50" s="113">
        <f>(Master!F98/Master!$F110)</f>
        <v>3.4058919250012552E-2</v>
      </c>
      <c r="J50" s="113">
        <f>(Master!G98/Master!$G110)</f>
        <v>3.771805160658441E-2</v>
      </c>
    </row>
    <row r="51" spans="1:10" x14ac:dyDescent="0.2">
      <c r="A51" s="192"/>
      <c r="B51" s="193"/>
      <c r="C51" s="193"/>
      <c r="D51" s="193"/>
      <c r="E51" s="194"/>
      <c r="F51" s="112"/>
      <c r="G51" s="112"/>
      <c r="H51" s="112"/>
      <c r="I51" s="111"/>
      <c r="J51" s="111"/>
    </row>
    <row r="52" spans="1:10" ht="15" customHeight="1" x14ac:dyDescent="0.2">
      <c r="A52" s="204" t="s">
        <v>137</v>
      </c>
      <c r="B52" s="205"/>
      <c r="C52" s="205"/>
      <c r="D52" s="205"/>
      <c r="E52" s="206"/>
      <c r="F52" s="112"/>
      <c r="G52" s="112"/>
      <c r="H52" s="112"/>
      <c r="I52" s="111"/>
      <c r="J52" s="111"/>
    </row>
    <row r="53" spans="1:10" ht="16" x14ac:dyDescent="0.2">
      <c r="A53" s="204" t="s">
        <v>128</v>
      </c>
      <c r="B53" s="205"/>
      <c r="C53" s="205"/>
      <c r="D53" s="205"/>
      <c r="E53" s="206"/>
      <c r="F53" s="112"/>
      <c r="G53" s="112"/>
      <c r="H53" s="112"/>
      <c r="I53" s="111"/>
      <c r="J53" s="111"/>
    </row>
    <row r="54" spans="1:10" x14ac:dyDescent="0.2">
      <c r="A54" s="192" t="s">
        <v>139</v>
      </c>
      <c r="B54" s="193"/>
      <c r="C54" s="193"/>
      <c r="D54" s="193"/>
      <c r="E54" s="194"/>
      <c r="F54" s="112">
        <f>(Master!C101/Master!$C110)</f>
        <v>0</v>
      </c>
      <c r="G54" s="112">
        <f>(Master!D101/Master!$D110)</f>
        <v>0</v>
      </c>
      <c r="H54" s="112">
        <f>(Master!E101/Master!$E110)</f>
        <v>0</v>
      </c>
      <c r="I54" s="112">
        <f>(Master!F101/Master!$F110)</f>
        <v>0</v>
      </c>
      <c r="J54" s="112">
        <f>(Master!G101/Master!$G110)</f>
        <v>4.7056816305902603E-2</v>
      </c>
    </row>
    <row r="55" spans="1:10" x14ac:dyDescent="0.2">
      <c r="A55" s="192" t="s">
        <v>140</v>
      </c>
      <c r="B55" s="193"/>
      <c r="C55" s="193"/>
      <c r="D55" s="193"/>
      <c r="E55" s="194"/>
      <c r="F55" s="112">
        <f>(Master!C102/Master!$C110)</f>
        <v>8.2899626071555215E-4</v>
      </c>
      <c r="G55" s="112">
        <f>(Master!D102/Master!$D110)</f>
        <v>4.6082055033696922E-4</v>
      </c>
      <c r="H55" s="112">
        <f>(Master!E102/Master!$E110)</f>
        <v>7.7824668700729189E-4</v>
      </c>
      <c r="I55" s="112">
        <f>(Master!F102/Master!$F110)</f>
        <v>4.717759213456723E-4</v>
      </c>
      <c r="J55" s="112">
        <f>(Master!G102/Master!$G110)</f>
        <v>0</v>
      </c>
    </row>
    <row r="56" spans="1:10" x14ac:dyDescent="0.2">
      <c r="A56" s="213" t="s">
        <v>141</v>
      </c>
      <c r="B56" s="214"/>
      <c r="C56" s="214"/>
      <c r="D56" s="214"/>
      <c r="E56" s="215"/>
      <c r="F56" s="112">
        <f>(Master!C103/Master!$C110)</f>
        <v>5.6721980582990855E-2</v>
      </c>
      <c r="G56" s="112">
        <f>(Master!D103/Master!$D110)</f>
        <v>4.5351946212525598E-2</v>
      </c>
      <c r="H56" s="112">
        <f>(Master!E103/Master!$E110)</f>
        <v>4.7479351820226161E-2</v>
      </c>
      <c r="I56" s="112">
        <f>(Master!F103/Master!$F110)</f>
        <v>5.3747668973287033E-2</v>
      </c>
      <c r="J56" s="112">
        <f>(Master!G103/Master!$G110)</f>
        <v>0</v>
      </c>
    </row>
    <row r="57" spans="1:10" x14ac:dyDescent="0.2">
      <c r="A57" s="192" t="s">
        <v>132</v>
      </c>
      <c r="B57" s="193"/>
      <c r="C57" s="193"/>
      <c r="D57" s="193"/>
      <c r="E57" s="194"/>
      <c r="F57" s="112">
        <f>(Master!C104/Master!$C110)</f>
        <v>7.175134470905082E-4</v>
      </c>
      <c r="G57" s="112">
        <f>(Master!D104/Master!$D110)</f>
        <v>8.6222754832302264E-4</v>
      </c>
      <c r="H57" s="112">
        <f>(Master!E104/Master!$E110)</f>
        <v>0</v>
      </c>
      <c r="I57" s="112">
        <f>(Master!F104/Master!$F110)</f>
        <v>0</v>
      </c>
      <c r="J57" s="112">
        <f>(Master!G104/Master!$G110)</f>
        <v>0</v>
      </c>
    </row>
    <row r="58" spans="1:10" x14ac:dyDescent="0.2">
      <c r="A58" s="192" t="s">
        <v>134</v>
      </c>
      <c r="B58" s="193"/>
      <c r="C58" s="193"/>
      <c r="D58" s="193"/>
      <c r="E58" s="194"/>
      <c r="F58" s="112">
        <f>(Master!C105/Master!$C110)</f>
        <v>1.7437281138141737E-2</v>
      </c>
      <c r="G58" s="112">
        <f>(Master!D105/Master!$D110)</f>
        <v>1.5248680939388075E-2</v>
      </c>
      <c r="H58" s="112">
        <f>(Master!E105/Master!$E110)</f>
        <v>1.393938386702641E-2</v>
      </c>
      <c r="I58" s="112">
        <f>(Master!F105/Master!$F110)</f>
        <v>1.247649335995028E-2</v>
      </c>
      <c r="J58" s="112">
        <f>(Master!G105/Master!$G110)</f>
        <v>1.4475076061564909E-2</v>
      </c>
    </row>
    <row r="59" spans="1:10" x14ac:dyDescent="0.2">
      <c r="A59" s="192" t="s">
        <v>142</v>
      </c>
      <c r="B59" s="193"/>
      <c r="C59" s="193"/>
      <c r="D59" s="193"/>
      <c r="E59" s="194"/>
      <c r="F59" s="112">
        <f>(Master!C106/Master!$C110)</f>
        <v>6.1036141945841713E-2</v>
      </c>
      <c r="G59" s="112">
        <f>(Master!D106/Master!$D110)</f>
        <v>5.5504619104633779E-2</v>
      </c>
      <c r="H59" s="112">
        <f>(Master!E106/Master!$E110)</f>
        <v>7.0351666639922789E-2</v>
      </c>
      <c r="I59" s="112">
        <f>(Master!F106/Master!$F110)</f>
        <v>7.4650243798984023E-2</v>
      </c>
      <c r="J59" s="112">
        <f>(Master!G106/Master!$G110)</f>
        <v>6.1811145981948125E-2</v>
      </c>
    </row>
    <row r="60" spans="1:10" x14ac:dyDescent="0.2">
      <c r="A60" s="192" t="s">
        <v>135</v>
      </c>
      <c r="B60" s="193"/>
      <c r="C60" s="193"/>
      <c r="D60" s="193"/>
      <c r="E60" s="194"/>
      <c r="F60" s="112">
        <f>(Master!C107/Master!$C110)</f>
        <v>2.3616753938989566E-3</v>
      </c>
      <c r="G60" s="112">
        <f>(Master!D107/Master!$D110)</f>
        <v>1.5676139517375872E-3</v>
      </c>
      <c r="H60" s="112">
        <f>(Master!E107/Master!$E110)</f>
        <v>3.6161536045773281E-4</v>
      </c>
      <c r="I60" s="112">
        <f>(Master!F107/Master!$F110)</f>
        <v>6.2903456179422973E-4</v>
      </c>
      <c r="J60" s="112">
        <f>(Master!G107/Master!$G110)</f>
        <v>7.7154416735296535E-4</v>
      </c>
    </row>
    <row r="61" spans="1:10" x14ac:dyDescent="0.2">
      <c r="A61" s="192" t="s">
        <v>143</v>
      </c>
      <c r="B61" s="193"/>
      <c r="C61" s="193"/>
      <c r="D61" s="193"/>
      <c r="E61" s="194"/>
      <c r="F61" s="112">
        <f>(Master!C108/Master!$C110)</f>
        <v>3.0323884117107809E-3</v>
      </c>
      <c r="G61" s="112">
        <f>(Master!D108/Master!$D110)</f>
        <v>1.8170977051216344E-3</v>
      </c>
      <c r="H61" s="112">
        <f>(Master!E108/Master!$E110)</f>
        <v>4.938542581211589E-3</v>
      </c>
      <c r="I61" s="112">
        <f>(Master!F108/Master!$F110)</f>
        <v>0</v>
      </c>
      <c r="J61" s="112">
        <f>(Master!G108/Master!$G110)</f>
        <v>1.8643959941677681E-3</v>
      </c>
    </row>
    <row r="62" spans="1:10" ht="16" x14ac:dyDescent="0.2">
      <c r="A62" s="204" t="s">
        <v>268</v>
      </c>
      <c r="B62" s="205"/>
      <c r="C62" s="205"/>
      <c r="D62" s="205"/>
      <c r="E62" s="206"/>
      <c r="F62" s="113">
        <f>(Master!C109/Master!$C110)</f>
        <v>0.14213597718039009</v>
      </c>
      <c r="G62" s="113">
        <f>(Master!D109/Master!$D110)</f>
        <v>0.12081300601206667</v>
      </c>
      <c r="H62" s="113">
        <f>(Master!E109/Master!$E110)</f>
        <v>0.13784880695585197</v>
      </c>
      <c r="I62" s="113">
        <f>(Master!F109/Master!$F110)</f>
        <v>0.14197521661536125</v>
      </c>
      <c r="J62" s="113">
        <f>(Master!G109/Master!$G110)</f>
        <v>0.12597897851093637</v>
      </c>
    </row>
    <row r="63" spans="1:10" ht="17" thickBot="1" x14ac:dyDescent="0.25">
      <c r="A63" s="247" t="s">
        <v>144</v>
      </c>
      <c r="B63" s="248"/>
      <c r="C63" s="248"/>
      <c r="D63" s="248"/>
      <c r="E63" s="249"/>
      <c r="F63" s="115">
        <f>(Master!C110/Master!$C110)</f>
        <v>1</v>
      </c>
      <c r="G63" s="115">
        <f>(Master!D110/Master!$D110)</f>
        <v>1</v>
      </c>
      <c r="H63" s="115">
        <f>(Master!E110/Master!$E110)</f>
        <v>1</v>
      </c>
      <c r="I63" s="115">
        <f>(Master!F110/Master!$F110)</f>
        <v>1</v>
      </c>
      <c r="J63" s="115">
        <f>(Master!G110/Master!$G110)</f>
        <v>1</v>
      </c>
    </row>
  </sheetData>
  <mergeCells count="94">
    <mergeCell ref="M24:R24"/>
    <mergeCell ref="M25:R25"/>
    <mergeCell ref="M26:R26"/>
    <mergeCell ref="M27:R27"/>
    <mergeCell ref="M28:R28"/>
    <mergeCell ref="M19:R19"/>
    <mergeCell ref="M20:R20"/>
    <mergeCell ref="M21:R21"/>
    <mergeCell ref="M22:R22"/>
    <mergeCell ref="M23:R23"/>
    <mergeCell ref="A62:E62"/>
    <mergeCell ref="A63:E63"/>
    <mergeCell ref="M6:R6"/>
    <mergeCell ref="M7:R7"/>
    <mergeCell ref="M8:R8"/>
    <mergeCell ref="M9:R9"/>
    <mergeCell ref="M10:R10"/>
    <mergeCell ref="M11:R11"/>
    <mergeCell ref="M12:R12"/>
    <mergeCell ref="M13:R13"/>
    <mergeCell ref="M14:R14"/>
    <mergeCell ref="M15:R15"/>
    <mergeCell ref="M16:R16"/>
    <mergeCell ref="M17:R17"/>
    <mergeCell ref="M18:R18"/>
    <mergeCell ref="A57:E57"/>
    <mergeCell ref="A58:E58"/>
    <mergeCell ref="A59:E59"/>
    <mergeCell ref="A60:E60"/>
    <mergeCell ref="A61:E61"/>
    <mergeCell ref="A52:E52"/>
    <mergeCell ref="A54:E54"/>
    <mergeCell ref="A53:E53"/>
    <mergeCell ref="A55:E55"/>
    <mergeCell ref="A56:E56"/>
    <mergeCell ref="A36:E36"/>
    <mergeCell ref="A37:E37"/>
    <mergeCell ref="A38:E38"/>
    <mergeCell ref="A39:E39"/>
    <mergeCell ref="A40:E40"/>
    <mergeCell ref="A31:E31"/>
    <mergeCell ref="A32:E32"/>
    <mergeCell ref="A34:E34"/>
    <mergeCell ref="A33:E33"/>
    <mergeCell ref="A35:E35"/>
    <mergeCell ref="A26:E26"/>
    <mergeCell ref="A27:E27"/>
    <mergeCell ref="A28:E28"/>
    <mergeCell ref="A29:E29"/>
    <mergeCell ref="A30:E30"/>
    <mergeCell ref="A21:E21"/>
    <mergeCell ref="A22:E22"/>
    <mergeCell ref="A23:E23"/>
    <mergeCell ref="A24:E24"/>
    <mergeCell ref="A25:E25"/>
    <mergeCell ref="A16:E16"/>
    <mergeCell ref="A15:E15"/>
    <mergeCell ref="A5:J5"/>
    <mergeCell ref="A8:E8"/>
    <mergeCell ref="A9:E9"/>
    <mergeCell ref="A11:E11"/>
    <mergeCell ref="A10:E10"/>
    <mergeCell ref="M35:R35"/>
    <mergeCell ref="A6:E6"/>
    <mergeCell ref="A7:E7"/>
    <mergeCell ref="R3:V3"/>
    <mergeCell ref="M29:R29"/>
    <mergeCell ref="M30:R30"/>
    <mergeCell ref="M31:R31"/>
    <mergeCell ref="M32:R32"/>
    <mergeCell ref="A17:E17"/>
    <mergeCell ref="A18:E18"/>
    <mergeCell ref="A19:E19"/>
    <mergeCell ref="A20:E20"/>
    <mergeCell ref="M5:R5"/>
    <mergeCell ref="A12:E12"/>
    <mergeCell ref="A13:E13"/>
    <mergeCell ref="A14:E14"/>
    <mergeCell ref="A51:E51"/>
    <mergeCell ref="M36:R36"/>
    <mergeCell ref="M37:R37"/>
    <mergeCell ref="K1:O1"/>
    <mergeCell ref="A47:E47"/>
    <mergeCell ref="A48:E48"/>
    <mergeCell ref="A49:E49"/>
    <mergeCell ref="A41:E41"/>
    <mergeCell ref="A50:E50"/>
    <mergeCell ref="A42:E42"/>
    <mergeCell ref="A43:E43"/>
    <mergeCell ref="A44:E44"/>
    <mergeCell ref="A45:E45"/>
    <mergeCell ref="A46:E46"/>
    <mergeCell ref="M33:R33"/>
    <mergeCell ref="M34:R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Master</vt:lpstr>
      <vt:lpstr>BETA Analysis</vt:lpstr>
      <vt:lpstr>Ratio Analysis</vt:lpstr>
      <vt:lpstr>Common-size trend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Rastogi</dc:creator>
  <cp:lastModifiedBy>Microsoft Office User</cp:lastModifiedBy>
  <dcterms:created xsi:type="dcterms:W3CDTF">2018-08-30T05:56:47Z</dcterms:created>
  <dcterms:modified xsi:type="dcterms:W3CDTF">2021-10-13T10:06:40Z</dcterms:modified>
</cp:coreProperties>
</file>