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 Dasgupta\Desktop\Machine Learning\COVID-19 India\"/>
    </mc:Choice>
  </mc:AlternateContent>
  <xr:revisionPtr revIDLastSave="0" documentId="8_{B6338AE6-7104-45B9-AF18-089A6AA990AA}" xr6:coauthVersionLast="45" xr6:coauthVersionMax="45" xr10:uidLastSave="{00000000-0000-0000-0000-000000000000}"/>
  <bookViews>
    <workbookView xWindow="-120" yWindow="-120" windowWidth="29040" windowHeight="15840" activeTab="6" xr2:uid="{96F5BEDB-DC51-4B44-8CBD-004879358240}"/>
  </bookViews>
  <sheets>
    <sheet name="Main" sheetId="1" r:id="rId1"/>
    <sheet name="P2P" sheetId="2" r:id="rId2"/>
    <sheet name="ICMR" sheetId="5" r:id="rId3"/>
    <sheet name="States" sheetId="3" r:id="rId4"/>
    <sheet name="Effective Active" sheetId="7" r:id="rId5"/>
    <sheet name="R0" sheetId="6" r:id="rId6"/>
    <sheet name="5DayR0" sheetId="8" r:id="rId7"/>
    <sheet name="QALY" sheetId="4" r:id="rId8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" i="8" l="1"/>
  <c r="AH34" i="3" l="1"/>
  <c r="AG34" i="3"/>
  <c r="F4" i="6"/>
  <c r="AM5" i="8"/>
  <c r="AM4" i="8" s="1"/>
  <c r="AM3" i="8" s="1"/>
  <c r="AM2" i="8" s="1"/>
  <c r="AM7" i="8" s="1"/>
  <c r="AK5" i="8"/>
  <c r="AK4" i="8" s="1"/>
  <c r="AK3" i="8" s="1"/>
  <c r="AK2" i="8" s="1"/>
  <c r="AK7" i="8" s="1"/>
  <c r="AI5" i="8"/>
  <c r="AI4" i="8" s="1"/>
  <c r="AI3" i="8" s="1"/>
  <c r="AI2" i="8" s="1"/>
  <c r="AI7" i="8" s="1"/>
  <c r="AH5" i="8"/>
  <c r="AH4" i="8" s="1"/>
  <c r="AH3" i="8" s="1"/>
  <c r="AH2" i="8" s="1"/>
  <c r="AH7" i="8" s="1"/>
  <c r="AF4" i="8"/>
  <c r="AF3" i="8" s="1"/>
  <c r="AF2" i="8" s="1"/>
  <c r="AF7" i="8" s="1"/>
  <c r="AE5" i="8"/>
  <c r="AE4" i="8" s="1"/>
  <c r="AE3" i="8" s="1"/>
  <c r="AE2" i="8" s="1"/>
  <c r="AE7" i="8" s="1"/>
  <c r="AD5" i="8"/>
  <c r="AD2" i="8"/>
  <c r="AD7" i="8" s="1"/>
  <c r="AC5" i="8"/>
  <c r="X4" i="8"/>
  <c r="X3" i="8" s="1"/>
  <c r="X2" i="8" s="1"/>
  <c r="X7" i="8" s="1"/>
  <c r="W4" i="8"/>
  <c r="W3" i="8" s="1"/>
  <c r="W2" i="8" s="1"/>
  <c r="W7" i="8" s="1"/>
  <c r="T5" i="8"/>
  <c r="T4" i="8" s="1"/>
  <c r="T3" i="8" s="1"/>
  <c r="T2" i="8" s="1"/>
  <c r="T7" i="8" s="1"/>
  <c r="S5" i="8"/>
  <c r="S4" i="8" s="1"/>
  <c r="S3" i="8" s="1"/>
  <c r="S2" i="8" s="1"/>
  <c r="S7" i="8" s="1"/>
  <c r="R4" i="8"/>
  <c r="R3" i="8"/>
  <c r="R7" i="8" s="1"/>
  <c r="Q5" i="8"/>
  <c r="Q4" i="8" s="1"/>
  <c r="Q3" i="8" s="1"/>
  <c r="Q2" i="8" s="1"/>
  <c r="Q7" i="8" s="1"/>
  <c r="P5" i="8"/>
  <c r="P4" i="8" s="1"/>
  <c r="P3" i="8" s="1"/>
  <c r="P2" i="8" s="1"/>
  <c r="P7" i="8" s="1"/>
  <c r="O5" i="8"/>
  <c r="O4" i="8" s="1"/>
  <c r="O3" i="8" s="1"/>
  <c r="O2" i="8" s="1"/>
  <c r="O7" i="8" s="1"/>
  <c r="N5" i="8"/>
  <c r="N4" i="8" s="1"/>
  <c r="N3" i="8" s="1"/>
  <c r="N2" i="8" s="1"/>
  <c r="N7" i="8" s="1"/>
  <c r="L5" i="8"/>
  <c r="L4" i="8" s="1"/>
  <c r="L3" i="8" s="1"/>
  <c r="L2" i="8" s="1"/>
  <c r="L7" i="8" s="1"/>
  <c r="I4" i="8"/>
  <c r="I3" i="8" s="1"/>
  <c r="I2" i="8" s="1"/>
  <c r="I7" i="8" s="1"/>
  <c r="H5" i="8"/>
  <c r="H4" i="8" s="1"/>
  <c r="H3" i="8" s="1"/>
  <c r="H2" i="8" s="1"/>
  <c r="H7" i="8" s="1"/>
  <c r="G4" i="8"/>
  <c r="G3" i="8" s="1"/>
  <c r="G2" i="8" s="1"/>
  <c r="G7" i="8" s="1"/>
  <c r="AL7" i="8"/>
  <c r="AC7" i="8"/>
  <c r="AA7" i="8"/>
  <c r="Y7" i="8"/>
  <c r="U7" i="8"/>
  <c r="M7" i="8"/>
  <c r="F7" i="8"/>
  <c r="C7" i="8"/>
  <c r="B7" i="8"/>
  <c r="D2" i="6" s="1"/>
  <c r="M9" i="6"/>
  <c r="D4" i="8"/>
  <c r="D3" i="8" s="1"/>
  <c r="D2" i="8" s="1"/>
  <c r="D7" i="8" s="1"/>
  <c r="J8" i="6"/>
  <c r="AH33" i="3"/>
  <c r="AG33" i="3"/>
  <c r="L30" i="5"/>
  <c r="Q30" i="5" s="1"/>
  <c r="J30" i="5"/>
  <c r="L29" i="5"/>
  <c r="Q29" i="5" s="1"/>
  <c r="J29" i="5"/>
  <c r="E30" i="5"/>
  <c r="E29" i="5"/>
  <c r="K140" i="4"/>
  <c r="L140" i="4"/>
  <c r="M140" i="4"/>
  <c r="N140" i="4"/>
  <c r="K141" i="4"/>
  <c r="L141" i="4"/>
  <c r="M141" i="4"/>
  <c r="N141" i="4"/>
  <c r="O141" i="4"/>
  <c r="Y57" i="4"/>
  <c r="Y56" i="4"/>
  <c r="Y55" i="4"/>
  <c r="Y54" i="4"/>
  <c r="AF28" i="4"/>
  <c r="AF29" i="4"/>
  <c r="AF30" i="4"/>
  <c r="AF31" i="4"/>
  <c r="AF32" i="4"/>
  <c r="AF33" i="4"/>
  <c r="AF34" i="4"/>
  <c r="AG7" i="4"/>
  <c r="T18" i="4"/>
  <c r="K132" i="4"/>
  <c r="O132" i="4" s="1"/>
  <c r="L132" i="4"/>
  <c r="M132" i="4"/>
  <c r="N132" i="4"/>
  <c r="K133" i="4"/>
  <c r="L133" i="4"/>
  <c r="M133" i="4"/>
  <c r="N133" i="4"/>
  <c r="K134" i="4"/>
  <c r="L134" i="4"/>
  <c r="M134" i="4"/>
  <c r="N134" i="4"/>
  <c r="K135" i="4"/>
  <c r="L135" i="4"/>
  <c r="M135" i="4"/>
  <c r="N135" i="4"/>
  <c r="K136" i="4"/>
  <c r="L136" i="4"/>
  <c r="M136" i="4"/>
  <c r="N136" i="4"/>
  <c r="K137" i="4"/>
  <c r="L137" i="4"/>
  <c r="M137" i="4"/>
  <c r="N137" i="4"/>
  <c r="K138" i="4"/>
  <c r="L138" i="4"/>
  <c r="M138" i="4"/>
  <c r="N138" i="4"/>
  <c r="K139" i="4"/>
  <c r="O139" i="4" s="1"/>
  <c r="L139" i="4"/>
  <c r="M139" i="4"/>
  <c r="N139" i="4"/>
  <c r="AN18" i="4"/>
  <c r="AP9" i="4" s="1"/>
  <c r="AP16" i="4"/>
  <c r="W35" i="4"/>
  <c r="V27" i="4" s="1"/>
  <c r="AG8" i="4"/>
  <c r="AJ12" i="4" s="1"/>
  <c r="Y7" i="4"/>
  <c r="Y8" i="4"/>
  <c r="Y3" i="4"/>
  <c r="Y9" i="4" s="1"/>
  <c r="AD37" i="4"/>
  <c r="AC28" i="4" s="1"/>
  <c r="AF27" i="4"/>
  <c r="Y30" i="4"/>
  <c r="AG11" i="4" s="1"/>
  <c r="Y28" i="4"/>
  <c r="AG9" i="4" s="1"/>
  <c r="Y29" i="4"/>
  <c r="AG10" i="4" s="1"/>
  <c r="Y27" i="4"/>
  <c r="AH32" i="3"/>
  <c r="AG32" i="3"/>
  <c r="E28" i="5"/>
  <c r="E27" i="5"/>
  <c r="J28" i="5"/>
  <c r="J27" i="5"/>
  <c r="L3" i="5"/>
  <c r="L26" i="5"/>
  <c r="Q26" i="5" s="1"/>
  <c r="L20" i="5"/>
  <c r="L28" i="5"/>
  <c r="Q28" i="5" s="1"/>
  <c r="L27" i="5"/>
  <c r="Q27" i="5" s="1"/>
  <c r="L25" i="5"/>
  <c r="L24" i="5"/>
  <c r="L23" i="5"/>
  <c r="L22" i="5"/>
  <c r="L19" i="5"/>
  <c r="P28" i="5"/>
  <c r="AK9" i="4" l="1"/>
  <c r="AK8" i="4"/>
  <c r="AK10" i="4"/>
  <c r="AK11" i="4"/>
  <c r="O140" i="4"/>
  <c r="O137" i="4"/>
  <c r="O135" i="4"/>
  <c r="Y6" i="4"/>
  <c r="Y11" i="4"/>
  <c r="Y10" i="4"/>
  <c r="O134" i="4"/>
  <c r="O136" i="4"/>
  <c r="O138" i="4"/>
  <c r="O133" i="4"/>
  <c r="AC29" i="4"/>
  <c r="AC27" i="4"/>
  <c r="AC33" i="4"/>
  <c r="AC32" i="4"/>
  <c r="AC31" i="4"/>
  <c r="AC34" i="4"/>
  <c r="AC30" i="4"/>
  <c r="AP15" i="4"/>
  <c r="AP12" i="4"/>
  <c r="AP11" i="4"/>
  <c r="AP14" i="4"/>
  <c r="AP8" i="4"/>
  <c r="AP10" i="4"/>
  <c r="AP13" i="4"/>
  <c r="AP17" i="4"/>
  <c r="V28" i="4"/>
  <c r="V30" i="4"/>
  <c r="V29" i="4"/>
  <c r="AA27" i="4" s="1"/>
  <c r="AG12" i="4"/>
  <c r="AH10" i="4" s="1"/>
  <c r="K42" i="4"/>
  <c r="L42" i="4"/>
  <c r="M42" i="4"/>
  <c r="N42" i="4"/>
  <c r="K43" i="4"/>
  <c r="L43" i="4"/>
  <c r="M43" i="4"/>
  <c r="N43" i="4"/>
  <c r="K44" i="4"/>
  <c r="L44" i="4"/>
  <c r="M44" i="4"/>
  <c r="N44" i="4"/>
  <c r="K45" i="4"/>
  <c r="L45" i="4"/>
  <c r="M45" i="4"/>
  <c r="N45" i="4"/>
  <c r="K46" i="4"/>
  <c r="L46" i="4"/>
  <c r="M46" i="4"/>
  <c r="N46" i="4"/>
  <c r="K47" i="4"/>
  <c r="L47" i="4"/>
  <c r="M47" i="4"/>
  <c r="N47" i="4"/>
  <c r="K48" i="4"/>
  <c r="L48" i="4"/>
  <c r="M48" i="4"/>
  <c r="N48" i="4"/>
  <c r="K49" i="4"/>
  <c r="L49" i="4"/>
  <c r="M49" i="4"/>
  <c r="N49" i="4"/>
  <c r="K50" i="4"/>
  <c r="L50" i="4"/>
  <c r="M50" i="4"/>
  <c r="N50" i="4"/>
  <c r="K51" i="4"/>
  <c r="L51" i="4"/>
  <c r="M51" i="4"/>
  <c r="N51" i="4"/>
  <c r="K52" i="4"/>
  <c r="L52" i="4"/>
  <c r="M52" i="4"/>
  <c r="N52" i="4"/>
  <c r="K53" i="4"/>
  <c r="L53" i="4"/>
  <c r="M53" i="4"/>
  <c r="N53" i="4"/>
  <c r="K54" i="4"/>
  <c r="L54" i="4"/>
  <c r="M54" i="4"/>
  <c r="N54" i="4"/>
  <c r="K55" i="4"/>
  <c r="L55" i="4"/>
  <c r="M55" i="4"/>
  <c r="N55" i="4"/>
  <c r="K56" i="4"/>
  <c r="L56" i="4"/>
  <c r="M56" i="4"/>
  <c r="N56" i="4"/>
  <c r="K57" i="4"/>
  <c r="L57" i="4"/>
  <c r="M57" i="4"/>
  <c r="N57" i="4"/>
  <c r="K58" i="4"/>
  <c r="L58" i="4"/>
  <c r="M58" i="4"/>
  <c r="N58" i="4"/>
  <c r="K59" i="4"/>
  <c r="L59" i="4"/>
  <c r="M59" i="4"/>
  <c r="N59" i="4"/>
  <c r="K60" i="4"/>
  <c r="L60" i="4"/>
  <c r="M60" i="4"/>
  <c r="N60" i="4"/>
  <c r="K61" i="4"/>
  <c r="L61" i="4"/>
  <c r="M61" i="4"/>
  <c r="N61" i="4"/>
  <c r="K62" i="4"/>
  <c r="L62" i="4"/>
  <c r="M62" i="4"/>
  <c r="N62" i="4"/>
  <c r="K63" i="4"/>
  <c r="L63" i="4"/>
  <c r="M63" i="4"/>
  <c r="N63" i="4"/>
  <c r="K64" i="4"/>
  <c r="L64" i="4"/>
  <c r="M64" i="4"/>
  <c r="N64" i="4"/>
  <c r="K65" i="4"/>
  <c r="L65" i="4"/>
  <c r="M65" i="4"/>
  <c r="N65" i="4"/>
  <c r="K66" i="4"/>
  <c r="L66" i="4"/>
  <c r="M66" i="4"/>
  <c r="N66" i="4"/>
  <c r="K67" i="4"/>
  <c r="L67" i="4"/>
  <c r="M67" i="4"/>
  <c r="N67" i="4"/>
  <c r="K68" i="4"/>
  <c r="L68" i="4"/>
  <c r="M68" i="4"/>
  <c r="N68" i="4"/>
  <c r="K69" i="4"/>
  <c r="L69" i="4"/>
  <c r="M69" i="4"/>
  <c r="N69" i="4"/>
  <c r="K70" i="4"/>
  <c r="L70" i="4"/>
  <c r="M70" i="4"/>
  <c r="N70" i="4"/>
  <c r="K71" i="4"/>
  <c r="L71" i="4"/>
  <c r="M71" i="4"/>
  <c r="N71" i="4"/>
  <c r="K72" i="4"/>
  <c r="L72" i="4"/>
  <c r="M72" i="4"/>
  <c r="N72" i="4"/>
  <c r="K73" i="4"/>
  <c r="L73" i="4"/>
  <c r="M73" i="4"/>
  <c r="N73" i="4"/>
  <c r="K74" i="4"/>
  <c r="L74" i="4"/>
  <c r="M74" i="4"/>
  <c r="N74" i="4"/>
  <c r="K75" i="4"/>
  <c r="L75" i="4"/>
  <c r="M75" i="4"/>
  <c r="N75" i="4"/>
  <c r="K76" i="4"/>
  <c r="L76" i="4"/>
  <c r="M76" i="4"/>
  <c r="N76" i="4"/>
  <c r="K77" i="4"/>
  <c r="L77" i="4"/>
  <c r="M77" i="4"/>
  <c r="N77" i="4"/>
  <c r="K78" i="4"/>
  <c r="L78" i="4"/>
  <c r="M78" i="4"/>
  <c r="N78" i="4"/>
  <c r="K79" i="4"/>
  <c r="L79" i="4"/>
  <c r="M79" i="4"/>
  <c r="N79" i="4"/>
  <c r="K80" i="4"/>
  <c r="L80" i="4"/>
  <c r="M80" i="4"/>
  <c r="N80" i="4"/>
  <c r="K81" i="4"/>
  <c r="L81" i="4"/>
  <c r="M81" i="4"/>
  <c r="N81" i="4"/>
  <c r="K82" i="4"/>
  <c r="L82" i="4"/>
  <c r="M82" i="4"/>
  <c r="N82" i="4"/>
  <c r="K83" i="4"/>
  <c r="L83" i="4"/>
  <c r="M83" i="4"/>
  <c r="N83" i="4"/>
  <c r="K84" i="4"/>
  <c r="L84" i="4"/>
  <c r="M84" i="4"/>
  <c r="N84" i="4"/>
  <c r="K85" i="4"/>
  <c r="L85" i="4"/>
  <c r="M85" i="4"/>
  <c r="N85" i="4"/>
  <c r="K86" i="4"/>
  <c r="L86" i="4"/>
  <c r="M86" i="4"/>
  <c r="N86" i="4"/>
  <c r="K87" i="4"/>
  <c r="L87" i="4"/>
  <c r="M87" i="4"/>
  <c r="N87" i="4"/>
  <c r="K88" i="4"/>
  <c r="L88" i="4"/>
  <c r="M88" i="4"/>
  <c r="N88" i="4"/>
  <c r="K89" i="4"/>
  <c r="L89" i="4"/>
  <c r="M89" i="4"/>
  <c r="N89" i="4"/>
  <c r="K90" i="4"/>
  <c r="L90" i="4"/>
  <c r="M90" i="4"/>
  <c r="N90" i="4"/>
  <c r="K91" i="4"/>
  <c r="L91" i="4"/>
  <c r="M91" i="4"/>
  <c r="N91" i="4"/>
  <c r="K92" i="4"/>
  <c r="L92" i="4"/>
  <c r="M92" i="4"/>
  <c r="N92" i="4"/>
  <c r="K93" i="4"/>
  <c r="L93" i="4"/>
  <c r="M93" i="4"/>
  <c r="N93" i="4"/>
  <c r="K94" i="4"/>
  <c r="L94" i="4"/>
  <c r="M94" i="4"/>
  <c r="N94" i="4"/>
  <c r="K95" i="4"/>
  <c r="L95" i="4"/>
  <c r="M95" i="4"/>
  <c r="N95" i="4"/>
  <c r="K96" i="4"/>
  <c r="L96" i="4"/>
  <c r="M96" i="4"/>
  <c r="N96" i="4"/>
  <c r="K97" i="4"/>
  <c r="L97" i="4"/>
  <c r="M97" i="4"/>
  <c r="N97" i="4"/>
  <c r="K98" i="4"/>
  <c r="L98" i="4"/>
  <c r="M98" i="4"/>
  <c r="N98" i="4"/>
  <c r="K99" i="4"/>
  <c r="L99" i="4"/>
  <c r="M99" i="4"/>
  <c r="N99" i="4"/>
  <c r="K100" i="4"/>
  <c r="L100" i="4"/>
  <c r="M100" i="4"/>
  <c r="N100" i="4"/>
  <c r="K101" i="4"/>
  <c r="L101" i="4"/>
  <c r="M101" i="4"/>
  <c r="N101" i="4"/>
  <c r="K102" i="4"/>
  <c r="L102" i="4"/>
  <c r="M102" i="4"/>
  <c r="N102" i="4"/>
  <c r="K103" i="4"/>
  <c r="L103" i="4"/>
  <c r="M103" i="4"/>
  <c r="N103" i="4"/>
  <c r="K104" i="4"/>
  <c r="L104" i="4"/>
  <c r="M104" i="4"/>
  <c r="N104" i="4"/>
  <c r="K105" i="4"/>
  <c r="L105" i="4"/>
  <c r="M105" i="4"/>
  <c r="N105" i="4"/>
  <c r="K106" i="4"/>
  <c r="L106" i="4"/>
  <c r="M106" i="4"/>
  <c r="N106" i="4"/>
  <c r="K107" i="4"/>
  <c r="L107" i="4"/>
  <c r="M107" i="4"/>
  <c r="N107" i="4"/>
  <c r="K108" i="4"/>
  <c r="L108" i="4"/>
  <c r="M108" i="4"/>
  <c r="N108" i="4"/>
  <c r="K109" i="4"/>
  <c r="L109" i="4"/>
  <c r="M109" i="4"/>
  <c r="N109" i="4"/>
  <c r="K110" i="4"/>
  <c r="L110" i="4"/>
  <c r="M110" i="4"/>
  <c r="N110" i="4"/>
  <c r="K111" i="4"/>
  <c r="L111" i="4"/>
  <c r="M111" i="4"/>
  <c r="N111" i="4"/>
  <c r="K112" i="4"/>
  <c r="L112" i="4"/>
  <c r="M112" i="4"/>
  <c r="N112" i="4"/>
  <c r="K113" i="4"/>
  <c r="L113" i="4"/>
  <c r="M113" i="4"/>
  <c r="N113" i="4"/>
  <c r="K114" i="4"/>
  <c r="L114" i="4"/>
  <c r="M114" i="4"/>
  <c r="N114" i="4"/>
  <c r="K115" i="4"/>
  <c r="L115" i="4"/>
  <c r="M115" i="4"/>
  <c r="N115" i="4"/>
  <c r="K116" i="4"/>
  <c r="L116" i="4"/>
  <c r="M116" i="4"/>
  <c r="N116" i="4"/>
  <c r="K117" i="4"/>
  <c r="L117" i="4"/>
  <c r="M117" i="4"/>
  <c r="N117" i="4"/>
  <c r="K118" i="4"/>
  <c r="L118" i="4"/>
  <c r="M118" i="4"/>
  <c r="N118" i="4"/>
  <c r="K119" i="4"/>
  <c r="L119" i="4"/>
  <c r="M119" i="4"/>
  <c r="N119" i="4"/>
  <c r="K120" i="4"/>
  <c r="L120" i="4"/>
  <c r="M120" i="4"/>
  <c r="N120" i="4"/>
  <c r="K121" i="4"/>
  <c r="L121" i="4"/>
  <c r="M121" i="4"/>
  <c r="N121" i="4"/>
  <c r="K122" i="4"/>
  <c r="L122" i="4"/>
  <c r="M122" i="4"/>
  <c r="N122" i="4"/>
  <c r="K123" i="4"/>
  <c r="L123" i="4"/>
  <c r="M123" i="4"/>
  <c r="N123" i="4"/>
  <c r="K124" i="4"/>
  <c r="L124" i="4"/>
  <c r="M124" i="4"/>
  <c r="N124" i="4"/>
  <c r="K125" i="4"/>
  <c r="L125" i="4"/>
  <c r="M125" i="4"/>
  <c r="N125" i="4"/>
  <c r="K126" i="4"/>
  <c r="L126" i="4"/>
  <c r="M126" i="4"/>
  <c r="N126" i="4"/>
  <c r="K127" i="4"/>
  <c r="L127" i="4"/>
  <c r="M127" i="4"/>
  <c r="N127" i="4"/>
  <c r="K128" i="4"/>
  <c r="L128" i="4"/>
  <c r="M128" i="4"/>
  <c r="N128" i="4"/>
  <c r="K129" i="4"/>
  <c r="L129" i="4"/>
  <c r="M129" i="4"/>
  <c r="N129" i="4"/>
  <c r="K130" i="4"/>
  <c r="L130" i="4"/>
  <c r="M130" i="4"/>
  <c r="N130" i="4"/>
  <c r="K131" i="4"/>
  <c r="L131" i="4"/>
  <c r="M131" i="4"/>
  <c r="N131" i="4"/>
  <c r="X3" i="4"/>
  <c r="X6" i="4" s="1"/>
  <c r="U21" i="4"/>
  <c r="T12" i="4"/>
  <c r="W2" i="4"/>
  <c r="K5" i="4"/>
  <c r="L5" i="4"/>
  <c r="M5" i="4"/>
  <c r="N5" i="4"/>
  <c r="K6" i="4"/>
  <c r="L6" i="4"/>
  <c r="M6" i="4"/>
  <c r="N6" i="4"/>
  <c r="K7" i="4"/>
  <c r="L7" i="4"/>
  <c r="M7" i="4"/>
  <c r="N7" i="4"/>
  <c r="K8" i="4"/>
  <c r="L8" i="4"/>
  <c r="M8" i="4"/>
  <c r="N8" i="4"/>
  <c r="K9" i="4"/>
  <c r="L9" i="4"/>
  <c r="M9" i="4"/>
  <c r="N9" i="4"/>
  <c r="K10" i="4"/>
  <c r="L10" i="4"/>
  <c r="M10" i="4"/>
  <c r="N10" i="4"/>
  <c r="K11" i="4"/>
  <c r="L11" i="4"/>
  <c r="M11" i="4"/>
  <c r="N11" i="4"/>
  <c r="K12" i="4"/>
  <c r="L12" i="4"/>
  <c r="M12" i="4"/>
  <c r="N12" i="4"/>
  <c r="K13" i="4"/>
  <c r="L13" i="4"/>
  <c r="M13" i="4"/>
  <c r="N13" i="4"/>
  <c r="K14" i="4"/>
  <c r="L14" i="4"/>
  <c r="M14" i="4"/>
  <c r="N14" i="4"/>
  <c r="K15" i="4"/>
  <c r="L15" i="4"/>
  <c r="M15" i="4"/>
  <c r="N15" i="4"/>
  <c r="K16" i="4"/>
  <c r="L16" i="4"/>
  <c r="M16" i="4"/>
  <c r="N16" i="4"/>
  <c r="K17" i="4"/>
  <c r="L17" i="4"/>
  <c r="M17" i="4"/>
  <c r="N17" i="4"/>
  <c r="K18" i="4"/>
  <c r="L18" i="4"/>
  <c r="M18" i="4"/>
  <c r="N18" i="4"/>
  <c r="K19" i="4"/>
  <c r="L19" i="4"/>
  <c r="M19" i="4"/>
  <c r="N19" i="4"/>
  <c r="K20" i="4"/>
  <c r="L20" i="4"/>
  <c r="M20" i="4"/>
  <c r="N20" i="4"/>
  <c r="K21" i="4"/>
  <c r="L21" i="4"/>
  <c r="M21" i="4"/>
  <c r="N21" i="4"/>
  <c r="K22" i="4"/>
  <c r="L22" i="4"/>
  <c r="M22" i="4"/>
  <c r="N22" i="4"/>
  <c r="K23" i="4"/>
  <c r="L23" i="4"/>
  <c r="M23" i="4"/>
  <c r="N23" i="4"/>
  <c r="K24" i="4"/>
  <c r="L24" i="4"/>
  <c r="M24" i="4"/>
  <c r="N24" i="4"/>
  <c r="K25" i="4"/>
  <c r="L25" i="4"/>
  <c r="M25" i="4"/>
  <c r="N25" i="4"/>
  <c r="K26" i="4"/>
  <c r="L26" i="4"/>
  <c r="M26" i="4"/>
  <c r="N26" i="4"/>
  <c r="K27" i="4"/>
  <c r="L27" i="4"/>
  <c r="M27" i="4"/>
  <c r="N27" i="4"/>
  <c r="K28" i="4"/>
  <c r="L28" i="4"/>
  <c r="M28" i="4"/>
  <c r="N28" i="4"/>
  <c r="K29" i="4"/>
  <c r="L29" i="4"/>
  <c r="M29" i="4"/>
  <c r="N29" i="4"/>
  <c r="K30" i="4"/>
  <c r="L30" i="4"/>
  <c r="M30" i="4"/>
  <c r="N30" i="4"/>
  <c r="K31" i="4"/>
  <c r="L31" i="4"/>
  <c r="M31" i="4"/>
  <c r="N31" i="4"/>
  <c r="K32" i="4"/>
  <c r="L32" i="4"/>
  <c r="M32" i="4"/>
  <c r="N32" i="4"/>
  <c r="K33" i="4"/>
  <c r="L33" i="4"/>
  <c r="M33" i="4"/>
  <c r="N33" i="4"/>
  <c r="K34" i="4"/>
  <c r="L34" i="4"/>
  <c r="M34" i="4"/>
  <c r="N34" i="4"/>
  <c r="K35" i="4"/>
  <c r="L35" i="4"/>
  <c r="M35" i="4"/>
  <c r="N35" i="4"/>
  <c r="K36" i="4"/>
  <c r="L36" i="4"/>
  <c r="M36" i="4"/>
  <c r="N36" i="4"/>
  <c r="K37" i="4"/>
  <c r="L37" i="4"/>
  <c r="M37" i="4"/>
  <c r="N37" i="4"/>
  <c r="K38" i="4"/>
  <c r="L38" i="4"/>
  <c r="M38" i="4"/>
  <c r="N38" i="4"/>
  <c r="K39" i="4"/>
  <c r="L39" i="4"/>
  <c r="M39" i="4"/>
  <c r="N39" i="4"/>
  <c r="K40" i="4"/>
  <c r="L40" i="4"/>
  <c r="M40" i="4"/>
  <c r="N40" i="4"/>
  <c r="K41" i="4"/>
  <c r="L41" i="4"/>
  <c r="M41" i="4"/>
  <c r="N41" i="4"/>
  <c r="K4" i="4"/>
  <c r="L4" i="4"/>
  <c r="N4" i="4"/>
  <c r="M4" i="4"/>
  <c r="C29" i="7"/>
  <c r="AH31" i="3"/>
  <c r="AG31" i="3"/>
  <c r="C28" i="7"/>
  <c r="AH30" i="3"/>
  <c r="AG30" i="3"/>
  <c r="J26" i="5"/>
  <c r="J25" i="5"/>
  <c r="E26" i="5"/>
  <c r="E25" i="5"/>
  <c r="M26" i="5"/>
  <c r="C27" i="7"/>
  <c r="AH28" i="3"/>
  <c r="AH29" i="3"/>
  <c r="D2" i="7"/>
  <c r="C4" i="7"/>
  <c r="D5" i="7" s="1"/>
  <c r="C5" i="7"/>
  <c r="C6" i="7"/>
  <c r="D7" i="7" s="1"/>
  <c r="G7" i="7" s="1"/>
  <c r="C7" i="7"/>
  <c r="D9" i="7" s="1"/>
  <c r="G9" i="7" s="1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3" i="7"/>
  <c r="D21" i="7" s="1"/>
  <c r="G21" i="7" s="1"/>
  <c r="E23" i="5"/>
  <c r="E22" i="5"/>
  <c r="E21" i="5"/>
  <c r="D23" i="5"/>
  <c r="E24" i="5" s="1"/>
  <c r="J24" i="5"/>
  <c r="J21" i="5"/>
  <c r="J22" i="5"/>
  <c r="AG29" i="3"/>
  <c r="AG28" i="3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F20" i="5"/>
  <c r="K20" i="5"/>
  <c r="P31" i="3"/>
  <c r="F26" i="3"/>
  <c r="F31" i="3"/>
  <c r="H31" i="3"/>
  <c r="I31" i="3"/>
  <c r="J31" i="3"/>
  <c r="O31" i="3"/>
  <c r="Q31" i="3"/>
  <c r="S31" i="3"/>
  <c r="T31" i="3"/>
  <c r="U31" i="3"/>
  <c r="W31" i="3"/>
  <c r="Y31" i="3"/>
  <c r="Z31" i="3"/>
  <c r="AA31" i="3"/>
  <c r="AB31" i="3"/>
  <c r="X26" i="3"/>
  <c r="X31" i="3" s="1"/>
  <c r="L26" i="3"/>
  <c r="L31" i="3" s="1"/>
  <c r="N26" i="3"/>
  <c r="N31" i="3" s="1"/>
  <c r="R26" i="3"/>
  <c r="R31" i="3" s="1"/>
  <c r="V26" i="3"/>
  <c r="V31" i="3" s="1"/>
  <c r="U26" i="3"/>
  <c r="G26" i="3"/>
  <c r="G31" i="3" s="1"/>
  <c r="K26" i="3"/>
  <c r="K31" i="3" s="1"/>
  <c r="M26" i="3"/>
  <c r="M31" i="3" s="1"/>
  <c r="H26" i="3"/>
  <c r="AH27" i="3"/>
  <c r="E20" i="5"/>
  <c r="E19" i="5"/>
  <c r="E18" i="5"/>
  <c r="Q19" i="5" s="1"/>
  <c r="G20" i="5"/>
  <c r="I20" i="5"/>
  <c r="J20" i="5"/>
  <c r="E26" i="3"/>
  <c r="E31" i="3" s="1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D26" i="3"/>
  <c r="D31" i="3" s="1"/>
  <c r="B26" i="3"/>
  <c r="B31" i="3" s="1"/>
  <c r="C26" i="3"/>
  <c r="C31" i="3" s="1"/>
  <c r="AG27" i="3"/>
  <c r="AG26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5" i="3"/>
  <c r="AC3" i="3"/>
  <c r="AD3" i="3" s="1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" i="3"/>
  <c r="O17" i="5"/>
  <c r="M17" i="5"/>
  <c r="L17" i="5"/>
  <c r="J17" i="5"/>
  <c r="K17" i="5" s="1"/>
  <c r="I17" i="5"/>
  <c r="E17" i="5"/>
  <c r="F17" i="5"/>
  <c r="G17" i="5"/>
  <c r="H17" i="5"/>
  <c r="K8" i="5"/>
  <c r="K10" i="5"/>
  <c r="K11" i="5"/>
  <c r="K3" i="5"/>
  <c r="O16" i="5"/>
  <c r="M16" i="5"/>
  <c r="L16" i="5"/>
  <c r="J16" i="5"/>
  <c r="K16" i="5" s="1"/>
  <c r="I16" i="5"/>
  <c r="E16" i="5"/>
  <c r="F16" i="5"/>
  <c r="G16" i="5"/>
  <c r="H16" i="5"/>
  <c r="E4" i="5"/>
  <c r="E5" i="5"/>
  <c r="E6" i="5"/>
  <c r="E7" i="5"/>
  <c r="E8" i="5"/>
  <c r="E9" i="5"/>
  <c r="E10" i="5"/>
  <c r="E11" i="5"/>
  <c r="E12" i="5"/>
  <c r="E13" i="5"/>
  <c r="E14" i="5"/>
  <c r="E15" i="5"/>
  <c r="E3" i="5"/>
  <c r="O15" i="5"/>
  <c r="M15" i="5"/>
  <c r="L15" i="5"/>
  <c r="J15" i="5"/>
  <c r="K15" i="5" s="1"/>
  <c r="I15" i="5"/>
  <c r="G15" i="5"/>
  <c r="H15" i="5"/>
  <c r="F15" i="5"/>
  <c r="N8" i="1"/>
  <c r="F8" i="1"/>
  <c r="G8" i="1" s="1"/>
  <c r="C8" i="1"/>
  <c r="D8" i="1" s="1"/>
  <c r="N7" i="1"/>
  <c r="F7" i="1"/>
  <c r="G7" i="1" s="1"/>
  <c r="D7" i="1"/>
  <c r="C7" i="1"/>
  <c r="J4" i="5"/>
  <c r="K4" i="5" s="1"/>
  <c r="J5" i="5"/>
  <c r="K5" i="5" s="1"/>
  <c r="J6" i="5"/>
  <c r="K6" i="5" s="1"/>
  <c r="J7" i="5"/>
  <c r="K7" i="5" s="1"/>
  <c r="J8" i="5"/>
  <c r="J9" i="5"/>
  <c r="K9" i="5" s="1"/>
  <c r="J10" i="5"/>
  <c r="J11" i="5"/>
  <c r="J12" i="5"/>
  <c r="K12" i="5" s="1"/>
  <c r="J13" i="5"/>
  <c r="K13" i="5" s="1"/>
  <c r="J14" i="5"/>
  <c r="K14" i="5" s="1"/>
  <c r="J3" i="5"/>
  <c r="N6" i="1"/>
  <c r="F6" i="1"/>
  <c r="G6" i="1" s="1"/>
  <c r="C6" i="1"/>
  <c r="D6" i="1" s="1"/>
  <c r="F2" i="2"/>
  <c r="D11" i="2"/>
  <c r="N5" i="1"/>
  <c r="F5" i="1"/>
  <c r="G5" i="1" s="1"/>
  <c r="C5" i="1"/>
  <c r="D5" i="1" s="1"/>
  <c r="O3" i="5"/>
  <c r="O4" i="5"/>
  <c r="O5" i="5"/>
  <c r="O6" i="5"/>
  <c r="O7" i="5"/>
  <c r="O8" i="5"/>
  <c r="O9" i="5"/>
  <c r="O10" i="5"/>
  <c r="O11" i="5"/>
  <c r="O12" i="5"/>
  <c r="O13" i="5"/>
  <c r="O14" i="5"/>
  <c r="O2" i="5"/>
  <c r="M4" i="5"/>
  <c r="M5" i="5"/>
  <c r="M6" i="5"/>
  <c r="M7" i="5"/>
  <c r="M8" i="5"/>
  <c r="M9" i="5"/>
  <c r="M10" i="5"/>
  <c r="M11" i="5"/>
  <c r="M12" i="5"/>
  <c r="M13" i="5"/>
  <c r="M14" i="5"/>
  <c r="M3" i="5"/>
  <c r="L4" i="5"/>
  <c r="L5" i="5"/>
  <c r="L6" i="5"/>
  <c r="L7" i="5"/>
  <c r="L8" i="5"/>
  <c r="L9" i="5"/>
  <c r="L10" i="5"/>
  <c r="L11" i="5"/>
  <c r="L12" i="5"/>
  <c r="L13" i="5"/>
  <c r="L14" i="5"/>
  <c r="I4" i="5"/>
  <c r="I5" i="5"/>
  <c r="I6" i="5"/>
  <c r="I7" i="5"/>
  <c r="I8" i="5"/>
  <c r="I9" i="5"/>
  <c r="I10" i="5"/>
  <c r="I11" i="5"/>
  <c r="I12" i="5"/>
  <c r="I13" i="5"/>
  <c r="I14" i="5"/>
  <c r="I3" i="5"/>
  <c r="H3" i="5"/>
  <c r="H4" i="5"/>
  <c r="H5" i="5"/>
  <c r="H6" i="5"/>
  <c r="H7" i="5"/>
  <c r="H8" i="5"/>
  <c r="H9" i="5"/>
  <c r="H10" i="5"/>
  <c r="H11" i="5"/>
  <c r="H12" i="5"/>
  <c r="H13" i="5"/>
  <c r="H14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2" i="5"/>
  <c r="N4" i="1"/>
  <c r="F4" i="1"/>
  <c r="G4" i="1" s="1"/>
  <c r="C4" i="1"/>
  <c r="D4" i="1" s="1"/>
  <c r="G3" i="1"/>
  <c r="F3" i="1"/>
  <c r="C3" i="1"/>
  <c r="D3" i="1" s="1"/>
  <c r="N3" i="1"/>
  <c r="G4" i="2"/>
  <c r="G5" i="2"/>
  <c r="D13" i="2"/>
  <c r="E13" i="2" s="1"/>
  <c r="D4" i="2"/>
  <c r="P2" i="1" s="1"/>
  <c r="F3" i="2"/>
  <c r="G3" i="2"/>
  <c r="G6" i="2"/>
  <c r="G2" i="2"/>
  <c r="R2" i="1"/>
  <c r="D5" i="2"/>
  <c r="E5" i="2" s="1"/>
  <c r="D2" i="2"/>
  <c r="N2" i="1"/>
  <c r="G5" i="7" l="1"/>
  <c r="D14" i="7"/>
  <c r="G14" i="7" s="1"/>
  <c r="D27" i="7"/>
  <c r="J23" i="5"/>
  <c r="D15" i="7"/>
  <c r="G15" i="7" s="1"/>
  <c r="D23" i="7"/>
  <c r="G23" i="7" s="1"/>
  <c r="R21" i="4"/>
  <c r="Y33" i="4"/>
  <c r="Y58" i="4" s="1"/>
  <c r="Z4" i="4"/>
  <c r="Y12" i="4"/>
  <c r="D8" i="7"/>
  <c r="E8" i="7" s="1"/>
  <c r="D16" i="7"/>
  <c r="G16" i="7" s="1"/>
  <c r="D24" i="7"/>
  <c r="G24" i="7" s="1"/>
  <c r="O105" i="4"/>
  <c r="D6" i="7"/>
  <c r="D22" i="7"/>
  <c r="G22" i="7" s="1"/>
  <c r="D29" i="7"/>
  <c r="Q15" i="5"/>
  <c r="Q7" i="5"/>
  <c r="Q13" i="5"/>
  <c r="Q5" i="5"/>
  <c r="D17" i="7"/>
  <c r="G17" i="7" s="1"/>
  <c r="D25" i="7"/>
  <c r="G25" i="7" s="1"/>
  <c r="R7" i="4"/>
  <c r="D18" i="7"/>
  <c r="G18" i="7" s="1"/>
  <c r="D11" i="7"/>
  <c r="G11" i="7" s="1"/>
  <c r="D4" i="7"/>
  <c r="D12" i="7"/>
  <c r="G12" i="7" s="1"/>
  <c r="D20" i="7"/>
  <c r="G20" i="7" s="1"/>
  <c r="D10" i="7"/>
  <c r="G10" i="7" s="1"/>
  <c r="D26" i="7"/>
  <c r="G26" i="7" s="1"/>
  <c r="D28" i="7"/>
  <c r="G28" i="7" s="1"/>
  <c r="Q11" i="5"/>
  <c r="D3" i="7"/>
  <c r="G3" i="7" s="1"/>
  <c r="D19" i="7"/>
  <c r="G19" i="7" s="1"/>
  <c r="Q9" i="5"/>
  <c r="Q17" i="5"/>
  <c r="D13" i="7"/>
  <c r="G13" i="7" s="1"/>
  <c r="G2" i="7"/>
  <c r="AL7" i="4"/>
  <c r="AI27" i="4"/>
  <c r="AF35" i="4" s="1"/>
  <c r="AC35" i="4"/>
  <c r="AH9" i="4"/>
  <c r="O50" i="4"/>
  <c r="O110" i="4"/>
  <c r="O108" i="4"/>
  <c r="O86" i="4"/>
  <c r="O84" i="4"/>
  <c r="O74" i="4"/>
  <c r="O49" i="4"/>
  <c r="O121" i="4"/>
  <c r="O113" i="4"/>
  <c r="O73" i="4"/>
  <c r="AQ8" i="4"/>
  <c r="AH11" i="4"/>
  <c r="AH8" i="4"/>
  <c r="AH7" i="4"/>
  <c r="O91" i="4"/>
  <c r="O81" i="4"/>
  <c r="O111" i="4"/>
  <c r="O109" i="4"/>
  <c r="O97" i="4"/>
  <c r="O89" i="4"/>
  <c r="O87" i="4"/>
  <c r="O85" i="4"/>
  <c r="O83" i="4"/>
  <c r="O4" i="4"/>
  <c r="O36" i="4"/>
  <c r="O34" i="4"/>
  <c r="O90" i="4"/>
  <c r="O69" i="4"/>
  <c r="O67" i="4"/>
  <c r="O65" i="4"/>
  <c r="O57" i="4"/>
  <c r="O53" i="4"/>
  <c r="O51" i="4"/>
  <c r="O130" i="4"/>
  <c r="O58" i="4"/>
  <c r="O15" i="4"/>
  <c r="O7" i="4"/>
  <c r="O104" i="4"/>
  <c r="O98" i="4"/>
  <c r="O82" i="4"/>
  <c r="O44" i="4"/>
  <c r="O26" i="4"/>
  <c r="O129" i="4"/>
  <c r="O123" i="4"/>
  <c r="O70" i="4"/>
  <c r="O68" i="4"/>
  <c r="O66" i="4"/>
  <c r="O54" i="4"/>
  <c r="O52" i="4"/>
  <c r="O23" i="4"/>
  <c r="O9" i="4"/>
  <c r="X4" i="4"/>
  <c r="O115" i="4"/>
  <c r="O102" i="4"/>
  <c r="O100" i="4"/>
  <c r="O96" i="4"/>
  <c r="O79" i="4"/>
  <c r="O64" i="4"/>
  <c r="O47" i="4"/>
  <c r="O11" i="4"/>
  <c r="X11" i="4"/>
  <c r="O127" i="4"/>
  <c r="O125" i="4"/>
  <c r="O107" i="4"/>
  <c r="O94" i="4"/>
  <c r="O92" i="4"/>
  <c r="O77" i="4"/>
  <c r="O75" i="4"/>
  <c r="O62" i="4"/>
  <c r="O60" i="4"/>
  <c r="O45" i="4"/>
  <c r="O43" i="4"/>
  <c r="O28" i="4"/>
  <c r="O18" i="4"/>
  <c r="X10" i="4"/>
  <c r="O119" i="4"/>
  <c r="O117" i="4"/>
  <c r="O99" i="4"/>
  <c r="O88" i="4"/>
  <c r="O71" i="4"/>
  <c r="O56" i="4"/>
  <c r="O42" i="4"/>
  <c r="X9" i="4"/>
  <c r="O22" i="4"/>
  <c r="O20" i="4"/>
  <c r="O10" i="4"/>
  <c r="X8" i="4"/>
  <c r="O128" i="4"/>
  <c r="O122" i="4"/>
  <c r="O103" i="4"/>
  <c r="O101" i="4"/>
  <c r="O80" i="4"/>
  <c r="O63" i="4"/>
  <c r="X5" i="4"/>
  <c r="O14" i="4"/>
  <c r="O12" i="4"/>
  <c r="X7" i="4"/>
  <c r="O126" i="4"/>
  <c r="O124" i="4"/>
  <c r="O120" i="4"/>
  <c r="O114" i="4"/>
  <c r="O95" i="4"/>
  <c r="O93" i="4"/>
  <c r="O78" i="4"/>
  <c r="O76" i="4"/>
  <c r="O61" i="4"/>
  <c r="O59" i="4"/>
  <c r="O48" i="4"/>
  <c r="O46" i="4"/>
  <c r="O39" i="4"/>
  <c r="O31" i="4"/>
  <c r="O131" i="4"/>
  <c r="O118" i="4"/>
  <c r="O116" i="4"/>
  <c r="O112" i="4"/>
  <c r="O106" i="4"/>
  <c r="O72" i="4"/>
  <c r="O55" i="4"/>
  <c r="O40" i="4"/>
  <c r="O29" i="4"/>
  <c r="O38" i="4"/>
  <c r="O27" i="4"/>
  <c r="O25" i="4"/>
  <c r="O16" i="4"/>
  <c r="O5" i="4"/>
  <c r="O41" i="4"/>
  <c r="O32" i="4"/>
  <c r="O21" i="4"/>
  <c r="O19" i="4"/>
  <c r="O17" i="4"/>
  <c r="O8" i="4"/>
  <c r="O37" i="4"/>
  <c r="O6" i="4"/>
  <c r="O30" i="4"/>
  <c r="O35" i="4"/>
  <c r="O33" i="4"/>
  <c r="O24" i="4"/>
  <c r="O13" i="4"/>
  <c r="E28" i="7"/>
  <c r="E22" i="7"/>
  <c r="E20" i="7"/>
  <c r="E12" i="7"/>
  <c r="J19" i="5"/>
  <c r="AD31" i="3"/>
  <c r="AD4" i="3"/>
  <c r="AE3" i="3"/>
  <c r="S2" i="1"/>
  <c r="E11" i="2"/>
  <c r="Q2" i="1"/>
  <c r="E4" i="2"/>
  <c r="O2" i="1"/>
  <c r="E2" i="2"/>
  <c r="E6" i="7" l="1"/>
  <c r="G6" i="7"/>
  <c r="E14" i="7"/>
  <c r="P6" i="4"/>
  <c r="R4" i="4" s="1"/>
  <c r="S26" i="4" s="1"/>
  <c r="P4" i="4"/>
  <c r="E15" i="7"/>
  <c r="E23" i="7"/>
  <c r="E16" i="7"/>
  <c r="G27" i="7"/>
  <c r="E27" i="7"/>
  <c r="E17" i="7"/>
  <c r="E25" i="7"/>
  <c r="E13" i="7"/>
  <c r="E21" i="7"/>
  <c r="E4" i="7"/>
  <c r="G4" i="7"/>
  <c r="E7" i="7"/>
  <c r="E24" i="7"/>
  <c r="E9" i="7"/>
  <c r="G8" i="7"/>
  <c r="E10" i="7"/>
  <c r="E18" i="7"/>
  <c r="E26" i="7"/>
  <c r="E3" i="7"/>
  <c r="G29" i="7"/>
  <c r="E29" i="7"/>
  <c r="E11" i="7"/>
  <c r="E19" i="7"/>
  <c r="E5" i="7"/>
  <c r="AI7" i="4"/>
  <c r="W4" i="4"/>
  <c r="U23" i="4" s="1"/>
  <c r="U24" i="4" s="1"/>
  <c r="R9" i="4" s="1"/>
  <c r="R24" i="4" s="1"/>
  <c r="X12" i="4"/>
  <c r="AD5" i="3"/>
  <c r="AE4" i="3"/>
  <c r="AE5" i="3" l="1"/>
  <c r="AD6" i="3"/>
  <c r="AE6" i="3" l="1"/>
  <c r="AD7" i="3"/>
  <c r="AE7" i="3" l="1"/>
  <c r="AD8" i="3"/>
  <c r="AE8" i="3" l="1"/>
  <c r="AD9" i="3"/>
  <c r="AE9" i="3" l="1"/>
  <c r="AD10" i="3"/>
  <c r="AE10" i="3" l="1"/>
  <c r="AD11" i="3"/>
  <c r="AE11" i="3" l="1"/>
  <c r="AD12" i="3"/>
  <c r="AE12" i="3" l="1"/>
  <c r="AD13" i="3"/>
  <c r="AE13" i="3" l="1"/>
  <c r="AD14" i="3"/>
  <c r="AE14" i="3" l="1"/>
  <c r="AD15" i="3"/>
  <c r="AE15" i="3" l="1"/>
  <c r="AD16" i="3"/>
  <c r="AE16" i="3" l="1"/>
  <c r="AD17" i="3"/>
  <c r="AE17" i="3" l="1"/>
  <c r="AD18" i="3"/>
  <c r="AE18" i="3" l="1"/>
  <c r="AD19" i="3"/>
  <c r="AE19" i="3" l="1"/>
  <c r="AD20" i="3"/>
  <c r="AE20" i="3" l="1"/>
  <c r="AD21" i="3"/>
  <c r="AE21" i="3" l="1"/>
  <c r="AD22" i="3"/>
  <c r="AE22" i="3" l="1"/>
  <c r="AD23" i="3"/>
  <c r="AE23" i="3" l="1"/>
  <c r="AD24" i="3"/>
  <c r="AE24" i="3" l="1"/>
  <c r="AD25" i="3"/>
  <c r="AE25" i="3" s="1"/>
</calcChain>
</file>

<file path=xl/sharedStrings.xml><?xml version="1.0" encoding="utf-8"?>
<sst xmlns="http://schemas.openxmlformats.org/spreadsheetml/2006/main" count="297" uniqueCount="191">
  <si>
    <t>Date</t>
  </si>
  <si>
    <t>Timestamp</t>
  </si>
  <si>
    <t>Confirmed</t>
  </si>
  <si>
    <t>Active</t>
  </si>
  <si>
    <t>Recovered</t>
  </si>
  <si>
    <t>Deceased</t>
  </si>
  <si>
    <t>Deceased (Change)</t>
  </si>
  <si>
    <t>Deceased (Growth)</t>
  </si>
  <si>
    <t>Recovered (Change)</t>
  </si>
  <si>
    <t>Recovered (Growth)</t>
  </si>
  <si>
    <t>Active (Change)</t>
  </si>
  <si>
    <t>Active (Growth)</t>
  </si>
  <si>
    <t>Confirmed (Change)</t>
  </si>
  <si>
    <t>Confirmed (Growth)</t>
  </si>
  <si>
    <t>Deceased/Recovered</t>
  </si>
  <si>
    <t>P2P</t>
  </si>
  <si>
    <t>Infected</t>
  </si>
  <si>
    <t>P182</t>
  </si>
  <si>
    <t>P172</t>
  </si>
  <si>
    <t>P201</t>
  </si>
  <si>
    <t>P153</t>
  </si>
  <si>
    <t>P218</t>
  </si>
  <si>
    <t>P64</t>
  </si>
  <si>
    <t>P142</t>
  </si>
  <si>
    <t>P4</t>
  </si>
  <si>
    <t>P22</t>
  </si>
  <si>
    <t>P73</t>
  </si>
  <si>
    <t>P225</t>
  </si>
  <si>
    <t>P171</t>
  </si>
  <si>
    <t>P248</t>
  </si>
  <si>
    <t>P74</t>
  </si>
  <si>
    <t>P137</t>
  </si>
  <si>
    <t>P285</t>
  </si>
  <si>
    <t>P117</t>
  </si>
  <si>
    <t>P35</t>
  </si>
  <si>
    <t>P36</t>
  </si>
  <si>
    <t>P160</t>
  </si>
  <si>
    <t>P81</t>
  </si>
  <si>
    <t>P196</t>
  </si>
  <si>
    <t>P132</t>
  </si>
  <si>
    <t>P200</t>
  </si>
  <si>
    <t>P141</t>
  </si>
  <si>
    <t>P191</t>
  </si>
  <si>
    <t>P41</t>
  </si>
  <si>
    <t>P51</t>
  </si>
  <si>
    <t>P297</t>
  </si>
  <si>
    <t>P30</t>
  </si>
  <si>
    <t>P272</t>
  </si>
  <si>
    <t>P108</t>
  </si>
  <si>
    <t>P77</t>
  </si>
  <si>
    <t>P78</t>
  </si>
  <si>
    <t>P44</t>
  </si>
  <si>
    <t>P138</t>
  </si>
  <si>
    <t>P157</t>
  </si>
  <si>
    <t>P43</t>
  </si>
  <si>
    <t>R0</t>
  </si>
  <si>
    <t>Percentile Analysis</t>
  </si>
  <si>
    <t>Non-immune</t>
  </si>
  <si>
    <t>R0 (100% CI)</t>
  </si>
  <si>
    <t>R0 (95% CI)</t>
  </si>
  <si>
    <t>R0 (90% CI)</t>
  </si>
  <si>
    <t>R0 (80% CI)</t>
  </si>
  <si>
    <t>R0 (75% CI)</t>
  </si>
  <si>
    <t>R0 (5% CI)</t>
  </si>
  <si>
    <t>Positives</t>
  </si>
  <si>
    <t>Individuals Tested</t>
  </si>
  <si>
    <t>Samples Tested</t>
  </si>
  <si>
    <t>Repeat Sampling Factor</t>
  </si>
  <si>
    <t>Testing Growth</t>
  </si>
  <si>
    <t>New Individiuals Tested</t>
  </si>
  <si>
    <t>New Samples Tested</t>
  </si>
  <si>
    <t>Hit Rate</t>
  </si>
  <si>
    <t>Population</t>
  </si>
  <si>
    <t>Tested Percentage</t>
  </si>
  <si>
    <t>P95</t>
  </si>
  <si>
    <t>P45</t>
  </si>
  <si>
    <t>P389</t>
  </si>
  <si>
    <t>P29</t>
  </si>
  <si>
    <t>P150</t>
  </si>
  <si>
    <t>P146</t>
  </si>
  <si>
    <t>Sample Hit Rate</t>
  </si>
  <si>
    <t>New Cases</t>
  </si>
  <si>
    <t>Case Growth</t>
  </si>
  <si>
    <t>CG/TG</t>
  </si>
  <si>
    <t>Maharashtra</t>
  </si>
  <si>
    <t>Kerala</t>
  </si>
  <si>
    <t>Karnataka</t>
  </si>
  <si>
    <t>Telengana</t>
  </si>
  <si>
    <t>Rajasthan</t>
  </si>
  <si>
    <t>Haryana</t>
  </si>
  <si>
    <t>UP</t>
  </si>
  <si>
    <t>Delhi</t>
  </si>
  <si>
    <t>TN</t>
  </si>
  <si>
    <t>Ladakh</t>
  </si>
  <si>
    <t>JK</t>
  </si>
  <si>
    <t>Punjab</t>
  </si>
  <si>
    <t>Andhra</t>
  </si>
  <si>
    <t>Uttarakhand</t>
  </si>
  <si>
    <t>Odisha</t>
  </si>
  <si>
    <t>Puducherry</t>
  </si>
  <si>
    <t>WB</t>
  </si>
  <si>
    <t>Chandigarh</t>
  </si>
  <si>
    <t>Chhattisgarh</t>
  </si>
  <si>
    <t>Gujarat</t>
  </si>
  <si>
    <t>MP</t>
  </si>
  <si>
    <t>HP</t>
  </si>
  <si>
    <t>Bihar</t>
  </si>
  <si>
    <t>Manipur</t>
  </si>
  <si>
    <t>Mizoram</t>
  </si>
  <si>
    <t>Goa</t>
  </si>
  <si>
    <t>Total</t>
  </si>
  <si>
    <t>Cumulative</t>
  </si>
  <si>
    <t>Daily Growth</t>
  </si>
  <si>
    <t>ANI</t>
  </si>
  <si>
    <t>State</t>
  </si>
  <si>
    <t>Uttar Pradesh</t>
  </si>
  <si>
    <t>Tamil Nadu</t>
  </si>
  <si>
    <t>Jammu and Kashmir</t>
  </si>
  <si>
    <t>Andhra Pradesh</t>
  </si>
  <si>
    <t>West Bengal</t>
  </si>
  <si>
    <t>Madhya Pradesh</t>
  </si>
  <si>
    <t>Himachal Pradesh</t>
  </si>
  <si>
    <t>Sikkim</t>
  </si>
  <si>
    <t>Nagaland</t>
  </si>
  <si>
    <t>Tripura</t>
  </si>
  <si>
    <t>Assam</t>
  </si>
  <si>
    <t>Arunachal Pradesh</t>
  </si>
  <si>
    <t>Daman and Diu</t>
  </si>
  <si>
    <t>Andaman and Nicobar Islands</t>
  </si>
  <si>
    <t>Lakshwadeep</t>
  </si>
  <si>
    <t>Jharkhand</t>
  </si>
  <si>
    <t>Meghalaya</t>
  </si>
  <si>
    <t>Dadra and Nagar Haveli</t>
  </si>
  <si>
    <t>Relative R0</t>
  </si>
  <si>
    <t>Effective Active Cases</t>
  </si>
  <si>
    <t>Disease Duration</t>
  </si>
  <si>
    <t>Growth in EAC</t>
  </si>
  <si>
    <t>Total Cases</t>
  </si>
  <si>
    <t>Q1</t>
  </si>
  <si>
    <t>Q2</t>
  </si>
  <si>
    <t>Q3</t>
  </si>
  <si>
    <t>Q4</t>
  </si>
  <si>
    <t>Q1I</t>
  </si>
  <si>
    <t>Q2I</t>
  </si>
  <si>
    <t>Q3I</t>
  </si>
  <si>
    <t>Q4I</t>
  </si>
  <si>
    <t>Q1W</t>
  </si>
  <si>
    <t>Q2W</t>
  </si>
  <si>
    <t>Q3W</t>
  </si>
  <si>
    <t>Q4W</t>
  </si>
  <si>
    <t>Q</t>
  </si>
  <si>
    <t>QALD Lost</t>
  </si>
  <si>
    <t>Expected LE (years)</t>
  </si>
  <si>
    <t>ELE (days)</t>
  </si>
  <si>
    <t>Q_Avg</t>
  </si>
  <si>
    <t>Pop Share &gt; 60</t>
  </si>
  <si>
    <t>Pop Share 23-60</t>
  </si>
  <si>
    <t>&gt;60 Death</t>
  </si>
  <si>
    <t>CFR</t>
  </si>
  <si>
    <t>Total (no lockdown)</t>
  </si>
  <si>
    <t>Infection Rate</t>
  </si>
  <si>
    <t>Lockdown 23-60</t>
  </si>
  <si>
    <t>23-60 Sick</t>
  </si>
  <si>
    <t>23-60 Death</t>
  </si>
  <si>
    <t>Hit Rate 24</t>
  </si>
  <si>
    <t>61-65</t>
  </si>
  <si>
    <t>66-70</t>
  </si>
  <si>
    <t>71-75</t>
  </si>
  <si>
    <t>&gt; 75</t>
  </si>
  <si>
    <t>Cases</t>
  </si>
  <si>
    <t>Deaths</t>
  </si>
  <si>
    <t>Age</t>
  </si>
  <si>
    <t>23-27</t>
  </si>
  <si>
    <t>28-32</t>
  </si>
  <si>
    <t>33-37</t>
  </si>
  <si>
    <t>38-42</t>
  </si>
  <si>
    <t>43-47</t>
  </si>
  <si>
    <t>48-52</t>
  </si>
  <si>
    <t>53-57</t>
  </si>
  <si>
    <t>58-60</t>
  </si>
  <si>
    <t>Fatality Rate</t>
  </si>
  <si>
    <t>Mean Age</t>
  </si>
  <si>
    <t>Median Age of Death</t>
  </si>
  <si>
    <t>32-37</t>
  </si>
  <si>
    <t>Age Bracket</t>
  </si>
  <si>
    <t>Median</t>
  </si>
  <si>
    <t>Age Cohort</t>
  </si>
  <si>
    <t>Share of Population</t>
  </si>
  <si>
    <t>Day</t>
  </si>
  <si>
    <t>Case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</si>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</sst>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Microsoft JhengHei UI Light"/>
      <family val="2"/>
    </font>
    <font>
      <sz val="8"/>
      <color theme="1"/>
      <name val="Microsoft JhengHei UI Light"/>
      <family val="2"/>
    </font>
    <font>
      <sz val="8"/>
      <name val="Calibri"/>
      <family val="2"/>
      <scheme val="minor"/>
    </font>
    <font>
      <sz val="8"/>
      <color rgb="FF000000"/>
      <name val="Microsoft JhengHei UI Light"/>
      <family val="2"/>
    </font>
    <font>
      <sz val="11"/>
      <color theme="1"/>
      <name val="Microsoft JhengHei UI Light"/>
      <family val="2"/>
    </font>
    <font>
      <b/>
      <sz val="11"/>
      <color theme="1"/>
      <name val="Microsoft JhengHei UI Light"/>
      <family val="2"/>
    </font>
    <font>
      <sz val="9"/>
      <color theme="1"/>
      <name val="Microsoft JhengHei UI Light"/>
      <family val="2"/>
    </font>
    <font>
      <b/>
      <sz val="9"/>
      <color rgb="FF7030A0"/>
      <name val="Microsoft JhengHei UI Light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10" fontId="0" fillId="0" borderId="0" xfId="1" applyNumberFormat="1" applyFont="1"/>
    <xf numFmtId="2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2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9" fontId="0" fillId="0" borderId="0" xfId="0" applyNumberFormat="1"/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2" fillId="0" borderId="0" xfId="0" applyFont="1"/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22" fontId="3" fillId="0" borderId="0" xfId="0" applyNumberFormat="1" applyFont="1" applyAlignment="1">
      <alignment horizontal="center" vertical="center"/>
    </xf>
    <xf numFmtId="10" fontId="2" fillId="0" borderId="0" xfId="1" applyNumberFormat="1" applyFont="1"/>
    <xf numFmtId="2" fontId="3" fillId="0" borderId="0" xfId="1" applyNumberFormat="1" applyFon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14" fontId="0" fillId="0" borderId="0" xfId="0" applyNumberFormat="1"/>
    <xf numFmtId="0" fontId="6" fillId="0" borderId="0" xfId="0" applyFont="1" applyAlignment="1">
      <alignment horizontal="center" vertical="center"/>
    </xf>
    <xf numFmtId="2" fontId="0" fillId="0" borderId="0" xfId="0" applyNumberFormat="1"/>
    <xf numFmtId="1" fontId="4" fillId="0" borderId="0" xfId="0" applyNumberFormat="1" applyFont="1" applyAlignment="1">
      <alignment horizontal="center" vertical="center"/>
    </xf>
    <xf numFmtId="2" fontId="2" fillId="0" borderId="0" xfId="0" applyNumberFormat="1" applyFont="1"/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0" fontId="9" fillId="0" borderId="0" xfId="1" applyNumberFormat="1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1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0" fontId="10" fillId="0" borderId="0" xfId="1" applyNumberFormat="1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0" fontId="9" fillId="0" borderId="7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10" fontId="4" fillId="0" borderId="5" xfId="1" applyNumberFormat="1" applyFont="1" applyBorder="1" applyAlignment="1">
      <alignment horizontal="center" vertical="center"/>
    </xf>
    <xf numFmtId="10" fontId="4" fillId="0" borderId="9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0" fontId="4" fillId="0" borderId="7" xfId="1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5" fontId="0" fillId="0" borderId="0" xfId="0" applyNumberFormat="1"/>
    <xf numFmtId="0" fontId="2" fillId="0" borderId="0" xfId="0" applyFont="1" applyAlignment="1">
      <alignment horizontal="center"/>
    </xf>
    <xf numFmtId="2" fontId="8" fillId="0" borderId="11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 UI Light" panose="020B0304030504040204" pitchFamily="34" charset="-120"/>
                <a:ea typeface="Microsoft JhengHei UI Light" panose="020B0304030504040204" pitchFamily="34" charset="-120"/>
                <a:cs typeface="+mn-cs"/>
              </a:defRPr>
            </a:pPr>
            <a:r>
              <a:rPr lang="en-IN" b="1"/>
              <a:t>COVID-19 Cases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UI Light" panose="020B0304030504040204" pitchFamily="34" charset="-120"/>
              <a:ea typeface="Microsoft JhengHei UI Light" panose="020B0304030504040204" pitchFamily="34" charset="-12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Main!$B$1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 UI Light" panose="020B0304030504040204" pitchFamily="34" charset="-120"/>
                    <a:ea typeface="Microsoft JhengHei UI Light" panose="020B0304030504040204" pitchFamily="34" charset="-120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079559065390015E-2"/>
                  <c:y val="0.3826356039602595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bg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icrosoft JhengHei UI Light" panose="020B0304030504040204" pitchFamily="34" charset="-120"/>
                      <a:ea typeface="Microsoft JhengHei UI Light" panose="020B0304030504040204" pitchFamily="34" charset="-120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Main!$A$2:$A$8</c:f>
              <c:numCache>
                <c:formatCode>m/d/yyyy\ h:mm</c:formatCode>
                <c:ptCount val="7"/>
                <c:pt idx="0">
                  <c:v>43914.450694444444</c:v>
                </c:pt>
                <c:pt idx="1">
                  <c:v>43914.580555555556</c:v>
                </c:pt>
                <c:pt idx="2">
                  <c:v>43914.626388888886</c:v>
                </c:pt>
                <c:pt idx="3">
                  <c:v>43914.711805555555</c:v>
                </c:pt>
                <c:pt idx="4">
                  <c:v>43914.782638888886</c:v>
                </c:pt>
                <c:pt idx="5">
                  <c:v>43914.931944444441</c:v>
                </c:pt>
                <c:pt idx="6">
                  <c:v>43915.427777777775</c:v>
                </c:pt>
              </c:numCache>
            </c:numRef>
          </c:cat>
          <c:val>
            <c:numRef>
              <c:f>Main!$B$2:$B$8</c:f>
              <c:numCache>
                <c:formatCode>General</c:formatCode>
                <c:ptCount val="7"/>
                <c:pt idx="0">
                  <c:v>519</c:v>
                </c:pt>
                <c:pt idx="1">
                  <c:v>529</c:v>
                </c:pt>
                <c:pt idx="2">
                  <c:v>532</c:v>
                </c:pt>
                <c:pt idx="3">
                  <c:v>544</c:v>
                </c:pt>
                <c:pt idx="4">
                  <c:v>562</c:v>
                </c:pt>
                <c:pt idx="5">
                  <c:v>566</c:v>
                </c:pt>
                <c:pt idx="6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D-4739-ADAF-98452EB010A7}"/>
            </c:ext>
          </c:extLst>
        </c:ser>
        <c:ser>
          <c:idx val="1"/>
          <c:order val="1"/>
          <c:tx>
            <c:strRef>
              <c:f>Main!$E$1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 UI Light" panose="020B0304030504040204" pitchFamily="34" charset="-120"/>
                    <a:ea typeface="Microsoft JhengHei UI Light" panose="020B0304030504040204" pitchFamily="34" charset="-120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Main!$A$2:$A$8</c:f>
              <c:numCache>
                <c:formatCode>m/d/yyyy\ h:mm</c:formatCode>
                <c:ptCount val="7"/>
                <c:pt idx="0">
                  <c:v>43914.450694444444</c:v>
                </c:pt>
                <c:pt idx="1">
                  <c:v>43914.580555555556</c:v>
                </c:pt>
                <c:pt idx="2">
                  <c:v>43914.626388888886</c:v>
                </c:pt>
                <c:pt idx="3">
                  <c:v>43914.711805555555</c:v>
                </c:pt>
                <c:pt idx="4">
                  <c:v>43914.782638888886</c:v>
                </c:pt>
                <c:pt idx="5">
                  <c:v>43914.931944444441</c:v>
                </c:pt>
                <c:pt idx="6">
                  <c:v>43915.427777777775</c:v>
                </c:pt>
              </c:numCache>
            </c:numRef>
          </c:cat>
          <c:val>
            <c:numRef>
              <c:f>Main!$E$2:$E$8</c:f>
              <c:numCache>
                <c:formatCode>General</c:formatCode>
                <c:ptCount val="7"/>
                <c:pt idx="0">
                  <c:v>473</c:v>
                </c:pt>
                <c:pt idx="1">
                  <c:v>483</c:v>
                </c:pt>
                <c:pt idx="2">
                  <c:v>486</c:v>
                </c:pt>
                <c:pt idx="3">
                  <c:v>498</c:v>
                </c:pt>
                <c:pt idx="4">
                  <c:v>512</c:v>
                </c:pt>
                <c:pt idx="5">
                  <c:v>516</c:v>
                </c:pt>
                <c:pt idx="6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D-4739-ADAF-98452EB010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5451512"/>
        <c:axId val="665453432"/>
      </c:lineChart>
      <c:catAx>
        <c:axId val="66545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JhengHei UI Light" panose="020B0304030504040204" pitchFamily="34" charset="-120"/>
                    <a:ea typeface="Microsoft JhengHei UI Light" panose="020B0304030504040204" pitchFamily="34" charset="-120"/>
                    <a:cs typeface="+mn-cs"/>
                  </a:defRPr>
                </a:pPr>
                <a:r>
                  <a:rPr lang="en-IN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crosoft JhengHei UI Light" panose="020B0304030504040204" pitchFamily="34" charset="-120"/>
                  <a:ea typeface="Microsoft JhengHei UI Light" panose="020B0304030504040204" pitchFamily="34" charset="-120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 UI Light" panose="020B0304030504040204" pitchFamily="34" charset="-120"/>
                <a:ea typeface="Microsoft JhengHei UI Light" panose="020B0304030504040204" pitchFamily="34" charset="-120"/>
                <a:cs typeface="+mn-cs"/>
              </a:defRPr>
            </a:pPr>
            <a:endParaRPr lang="en-US"/>
          </a:p>
        </c:txPr>
        <c:crossAx val="665453432"/>
        <c:crosses val="autoZero"/>
        <c:auto val="0"/>
        <c:lblAlgn val="ctr"/>
        <c:lblOffset val="100"/>
        <c:noMultiLvlLbl val="0"/>
      </c:catAx>
      <c:valAx>
        <c:axId val="665453432"/>
        <c:scaling>
          <c:orientation val="minMax"/>
          <c:min val="4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JhengHei UI Light" panose="020B0304030504040204" pitchFamily="34" charset="-120"/>
                    <a:ea typeface="Microsoft JhengHei UI Light" panose="020B0304030504040204" pitchFamily="34" charset="-120"/>
                    <a:cs typeface="+mn-cs"/>
                  </a:defRPr>
                </a:pPr>
                <a:r>
                  <a:rPr lang="en-IN" b="1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crosoft JhengHei UI Light" panose="020B0304030504040204" pitchFamily="34" charset="-120"/>
                  <a:ea typeface="Microsoft JhengHei UI Light" panose="020B0304030504040204" pitchFamily="34" charset="-12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 UI Light" panose="020B0304030504040204" pitchFamily="34" charset="-120"/>
                <a:ea typeface="Microsoft JhengHei UI Light" panose="020B0304030504040204" pitchFamily="34" charset="-120"/>
                <a:cs typeface="+mn-cs"/>
              </a:defRPr>
            </a:pPr>
            <a:endParaRPr lang="en-US"/>
          </a:p>
        </c:txPr>
        <c:crossAx val="66545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UI Light" panose="020B0304030504040204" pitchFamily="34" charset="-120"/>
              <a:ea typeface="Microsoft JhengHei UI Light" panose="020B0304030504040204" pitchFamily="34" charset="-12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 UI Light" panose="020B0304030504040204" pitchFamily="34" charset="-120"/>
          <a:ea typeface="Microsoft JhengHei UI Light" panose="020B0304030504040204" pitchFamily="34" charset="-12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Microsoft JhengHei UI Light" panose="020B0304030504040204" pitchFamily="34" charset="-120"/>
              <a:ea typeface="Microsoft JhengHei UI Light" panose="020B0304030504040204" pitchFamily="34" charset="-12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ICMR!$B$1</c:f>
              <c:strCache>
                <c:ptCount val="1"/>
                <c:pt idx="0">
                  <c:v>Individuals Tested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lt1"/>
                    </a:solidFill>
                    <a:latin typeface="Microsoft JhengHei UI Light" panose="020B0304030504040204" pitchFamily="34" charset="-120"/>
                    <a:ea typeface="Microsoft JhengHei UI Light" panose="020B0304030504040204" pitchFamily="34" charset="-120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252531170918444"/>
                  <c:y val="1.5002256130796504E-2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solidFill>
                    <a:schemeClr val="bg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icrosoft JhengHei UI Light" panose="020B0304030504040204" pitchFamily="34" charset="-120"/>
                      <a:ea typeface="Microsoft JhengHei UI Light" panose="020B0304030504040204" pitchFamily="34" charset="-120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ICMR!$A$2:$A$17</c:f>
              <c:numCache>
                <c:formatCode>m/d/yyyy\ h:mm</c:formatCode>
                <c:ptCount val="16"/>
                <c:pt idx="0">
                  <c:v>43903</c:v>
                </c:pt>
                <c:pt idx="1">
                  <c:v>43908.75</c:v>
                </c:pt>
                <c:pt idx="2">
                  <c:v>43909.416666666664</c:v>
                </c:pt>
                <c:pt idx="3">
                  <c:v>43909.75</c:v>
                </c:pt>
                <c:pt idx="4">
                  <c:v>43910.416666666664</c:v>
                </c:pt>
                <c:pt idx="5">
                  <c:v>43910.75</c:v>
                </c:pt>
                <c:pt idx="6">
                  <c:v>43911.416666666664</c:v>
                </c:pt>
                <c:pt idx="7">
                  <c:v>43911.75</c:v>
                </c:pt>
                <c:pt idx="8">
                  <c:v>43912.416666666664</c:v>
                </c:pt>
                <c:pt idx="9">
                  <c:v>43912.75</c:v>
                </c:pt>
                <c:pt idx="10">
                  <c:v>43913.416666666664</c:v>
                </c:pt>
                <c:pt idx="11">
                  <c:v>43913.833333333336</c:v>
                </c:pt>
                <c:pt idx="12">
                  <c:v>43914.416666666664</c:v>
                </c:pt>
                <c:pt idx="13">
                  <c:v>43914.833333333336</c:v>
                </c:pt>
                <c:pt idx="14">
                  <c:v>43915.416666666664</c:v>
                </c:pt>
                <c:pt idx="15">
                  <c:v>43915.833333333336</c:v>
                </c:pt>
              </c:numCache>
            </c:numRef>
          </c:cat>
          <c:val>
            <c:numRef>
              <c:f>ICMR!$B$2:$B$17</c:f>
              <c:numCache>
                <c:formatCode>General</c:formatCode>
                <c:ptCount val="16"/>
                <c:pt idx="0">
                  <c:v>5900</c:v>
                </c:pt>
                <c:pt idx="1">
                  <c:v>12235</c:v>
                </c:pt>
                <c:pt idx="2">
                  <c:v>12426</c:v>
                </c:pt>
                <c:pt idx="3">
                  <c:v>13285</c:v>
                </c:pt>
                <c:pt idx="4">
                  <c:v>13486</c:v>
                </c:pt>
                <c:pt idx="5">
                  <c:v>14514</c:v>
                </c:pt>
                <c:pt idx="6">
                  <c:v>14811</c:v>
                </c:pt>
                <c:pt idx="7">
                  <c:v>16021</c:v>
                </c:pt>
                <c:pt idx="8">
                  <c:v>16109</c:v>
                </c:pt>
                <c:pt idx="9">
                  <c:v>17237</c:v>
                </c:pt>
                <c:pt idx="10">
                  <c:v>17493</c:v>
                </c:pt>
                <c:pt idx="11">
                  <c:v>19817</c:v>
                </c:pt>
                <c:pt idx="12">
                  <c:v>19974</c:v>
                </c:pt>
                <c:pt idx="13">
                  <c:v>21804</c:v>
                </c:pt>
                <c:pt idx="14">
                  <c:v>22038</c:v>
                </c:pt>
                <c:pt idx="15">
                  <c:v>24254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6-464B-8EB2-44F3B8E749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3430648"/>
        <c:axId val="843430968"/>
      </c:lineChart>
      <c:catAx>
        <c:axId val="843430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Microsoft JhengHei UI Light" panose="020B0304030504040204" pitchFamily="34" charset="-120"/>
                    <a:ea typeface="Microsoft JhengHei UI Light" panose="020B0304030504040204" pitchFamily="34" charset="-120"/>
                    <a:cs typeface="+mn-cs"/>
                  </a:defRPr>
                </a:pPr>
                <a:r>
                  <a:rPr lang="en-IN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Microsoft JhengHei UI Light" panose="020B0304030504040204" pitchFamily="34" charset="-120"/>
                  <a:ea typeface="Microsoft JhengHei UI Light" panose="020B0304030504040204" pitchFamily="34" charset="-120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Microsoft JhengHei UI Light" panose="020B0304030504040204" pitchFamily="34" charset="-120"/>
                <a:ea typeface="Microsoft JhengHei UI Light" panose="020B0304030504040204" pitchFamily="34" charset="-120"/>
                <a:cs typeface="+mn-cs"/>
              </a:defRPr>
            </a:pPr>
            <a:endParaRPr lang="en-US"/>
          </a:p>
        </c:txPr>
        <c:crossAx val="843430968"/>
        <c:crosses val="autoZero"/>
        <c:auto val="0"/>
        <c:lblAlgn val="ctr"/>
        <c:lblOffset val="100"/>
        <c:tickLblSkip val="3"/>
        <c:noMultiLvlLbl val="0"/>
      </c:catAx>
      <c:valAx>
        <c:axId val="843430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Microsoft JhengHei UI Light" panose="020B0304030504040204" pitchFamily="34" charset="-120"/>
                    <a:ea typeface="Microsoft JhengHei UI Light" panose="020B0304030504040204" pitchFamily="34" charset="-120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Microsoft JhengHei UI Light" panose="020B0304030504040204" pitchFamily="34" charset="-120"/>
                  <a:ea typeface="Microsoft JhengHei UI Light" panose="020B0304030504040204" pitchFamily="34" charset="-12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Microsoft JhengHei UI Light" panose="020B0304030504040204" pitchFamily="34" charset="-120"/>
                <a:ea typeface="Microsoft JhengHei UI Light" panose="020B0304030504040204" pitchFamily="34" charset="-120"/>
                <a:cs typeface="+mn-cs"/>
              </a:defRPr>
            </a:pPr>
            <a:endParaRPr lang="en-US"/>
          </a:p>
        </c:txPr>
        <c:crossAx val="84343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Microsoft JhengHei UI Light" panose="020B0304030504040204" pitchFamily="34" charset="-120"/>
              <a:ea typeface="Microsoft JhengHei UI Light" panose="020B0304030504040204" pitchFamily="34" charset="-12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Microsoft JhengHei UI Light" panose="020B0304030504040204" pitchFamily="34" charset="-120"/>
          <a:ea typeface="Microsoft JhengHei UI Light" panose="020B0304030504040204" pitchFamily="34" charset="-12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 UI Light" panose="020B0304030504040204" pitchFamily="34" charset="-120"/>
                <a:ea typeface="Microsoft JhengHei UI Light" panose="020B0304030504040204" pitchFamily="34" charset="-120"/>
                <a:cs typeface="+mn-cs"/>
              </a:defRPr>
            </a:pPr>
            <a:r>
              <a:rPr lang="en-IN" b="1"/>
              <a:t>Hit Rate of SARS-CoV-2</a:t>
            </a:r>
            <a:r>
              <a:rPr lang="en-IN" b="1" baseline="0"/>
              <a:t> in India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UI Light" panose="020B0304030504040204" pitchFamily="34" charset="-120"/>
              <a:ea typeface="Microsoft JhengHei UI Light" panose="020B0304030504040204" pitchFamily="34" charset="-12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ICMR!$D$1</c:f>
              <c:strCache>
                <c:ptCount val="1"/>
                <c:pt idx="0">
                  <c:v>Positives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ICMR!$A$2:$A$20</c:f>
              <c:numCache>
                <c:formatCode>m/d/yyyy\ h:mm</c:formatCode>
                <c:ptCount val="19"/>
                <c:pt idx="0">
                  <c:v>43903</c:v>
                </c:pt>
                <c:pt idx="1">
                  <c:v>43908.75</c:v>
                </c:pt>
                <c:pt idx="2">
                  <c:v>43909.416666666664</c:v>
                </c:pt>
                <c:pt idx="3">
                  <c:v>43909.75</c:v>
                </c:pt>
                <c:pt idx="4">
                  <c:v>43910.416666666664</c:v>
                </c:pt>
                <c:pt idx="5">
                  <c:v>43910.75</c:v>
                </c:pt>
                <c:pt idx="6">
                  <c:v>43911.416666666664</c:v>
                </c:pt>
                <c:pt idx="7">
                  <c:v>43911.75</c:v>
                </c:pt>
                <c:pt idx="8">
                  <c:v>43912.416666666664</c:v>
                </c:pt>
                <c:pt idx="9">
                  <c:v>43912.75</c:v>
                </c:pt>
                <c:pt idx="10">
                  <c:v>43913.416666666664</c:v>
                </c:pt>
                <c:pt idx="11">
                  <c:v>43913.833333333336</c:v>
                </c:pt>
                <c:pt idx="12">
                  <c:v>43914.416666666664</c:v>
                </c:pt>
                <c:pt idx="13">
                  <c:v>43914.833333333336</c:v>
                </c:pt>
                <c:pt idx="14">
                  <c:v>43915.416666666664</c:v>
                </c:pt>
                <c:pt idx="15">
                  <c:v>43915.833333333336</c:v>
                </c:pt>
                <c:pt idx="16">
                  <c:v>43916.416666666664</c:v>
                </c:pt>
                <c:pt idx="17">
                  <c:v>43916.833333333336</c:v>
                </c:pt>
                <c:pt idx="18">
                  <c:v>43917.375</c:v>
                </c:pt>
              </c:numCache>
            </c:numRef>
          </c:cat>
          <c:val>
            <c:numRef>
              <c:f>ICMR!$D$2:$D$20</c:f>
              <c:numCache>
                <c:formatCode>General</c:formatCode>
                <c:ptCount val="19"/>
                <c:pt idx="0">
                  <c:v>78</c:v>
                </c:pt>
                <c:pt idx="1">
                  <c:v>150</c:v>
                </c:pt>
                <c:pt idx="2">
                  <c:v>168</c:v>
                </c:pt>
                <c:pt idx="3">
                  <c:v>182</c:v>
                </c:pt>
                <c:pt idx="4">
                  <c:v>206</c:v>
                </c:pt>
                <c:pt idx="5">
                  <c:v>236</c:v>
                </c:pt>
                <c:pt idx="6">
                  <c:v>271</c:v>
                </c:pt>
                <c:pt idx="7">
                  <c:v>315</c:v>
                </c:pt>
                <c:pt idx="8">
                  <c:v>341</c:v>
                </c:pt>
                <c:pt idx="9">
                  <c:v>396</c:v>
                </c:pt>
                <c:pt idx="10">
                  <c:v>415</c:v>
                </c:pt>
                <c:pt idx="11">
                  <c:v>471</c:v>
                </c:pt>
                <c:pt idx="12">
                  <c:v>482</c:v>
                </c:pt>
                <c:pt idx="13">
                  <c:v>536</c:v>
                </c:pt>
                <c:pt idx="14">
                  <c:v>539</c:v>
                </c:pt>
                <c:pt idx="15">
                  <c:v>582</c:v>
                </c:pt>
                <c:pt idx="16">
                  <c:v>604</c:v>
                </c:pt>
                <c:pt idx="17">
                  <c:v>673</c:v>
                </c:pt>
                <c:pt idx="18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2-4549-B8E3-2B534AA99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424888"/>
        <c:axId val="843441208"/>
      </c:lineChart>
      <c:lineChart>
        <c:grouping val="standard"/>
        <c:varyColors val="0"/>
        <c:ser>
          <c:idx val="1"/>
          <c:order val="1"/>
          <c:tx>
            <c:strRef>
              <c:f>ICMR!$F$1</c:f>
              <c:strCache>
                <c:ptCount val="1"/>
                <c:pt idx="0">
                  <c:v>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ICMR!$A$2:$A$16</c:f>
              <c:numCache>
                <c:formatCode>m/d/yyyy\ h:mm</c:formatCode>
                <c:ptCount val="15"/>
                <c:pt idx="0">
                  <c:v>43903</c:v>
                </c:pt>
                <c:pt idx="1">
                  <c:v>43908.75</c:v>
                </c:pt>
                <c:pt idx="2">
                  <c:v>43909.416666666664</c:v>
                </c:pt>
                <c:pt idx="3">
                  <c:v>43909.75</c:v>
                </c:pt>
                <c:pt idx="4">
                  <c:v>43910.416666666664</c:v>
                </c:pt>
                <c:pt idx="5">
                  <c:v>43910.75</c:v>
                </c:pt>
                <c:pt idx="6">
                  <c:v>43911.416666666664</c:v>
                </c:pt>
                <c:pt idx="7">
                  <c:v>43911.75</c:v>
                </c:pt>
                <c:pt idx="8">
                  <c:v>43912.416666666664</c:v>
                </c:pt>
                <c:pt idx="9">
                  <c:v>43912.75</c:v>
                </c:pt>
                <c:pt idx="10">
                  <c:v>43913.416666666664</c:v>
                </c:pt>
                <c:pt idx="11">
                  <c:v>43913.833333333336</c:v>
                </c:pt>
                <c:pt idx="12">
                  <c:v>43914.416666666664</c:v>
                </c:pt>
                <c:pt idx="13">
                  <c:v>43914.833333333336</c:v>
                </c:pt>
                <c:pt idx="14">
                  <c:v>43915.416666666664</c:v>
                </c:pt>
              </c:numCache>
            </c:numRef>
          </c:cat>
          <c:val>
            <c:numRef>
              <c:f>ICMR!$F$2:$F$20</c:f>
              <c:numCache>
                <c:formatCode>0.00%</c:formatCode>
                <c:ptCount val="19"/>
                <c:pt idx="0">
                  <c:v>1.3220338983050847E-2</c:v>
                </c:pt>
                <c:pt idx="1">
                  <c:v>1.2259910093992644E-2</c:v>
                </c:pt>
                <c:pt idx="2">
                  <c:v>1.3520038628681796E-2</c:v>
                </c:pt>
                <c:pt idx="3">
                  <c:v>1.3699661272111403E-2</c:v>
                </c:pt>
                <c:pt idx="4">
                  <c:v>1.527510010381136E-2</c:v>
                </c:pt>
                <c:pt idx="5">
                  <c:v>1.6260162601626018E-2</c:v>
                </c:pt>
                <c:pt idx="6">
                  <c:v>1.8297211531969483E-2</c:v>
                </c:pt>
                <c:pt idx="7">
                  <c:v>1.9661694026590102E-2</c:v>
                </c:pt>
                <c:pt idx="8">
                  <c:v>2.1168291017443663E-2</c:v>
                </c:pt>
                <c:pt idx="9">
                  <c:v>2.2973835354179961E-2</c:v>
                </c:pt>
                <c:pt idx="10">
                  <c:v>2.3723775224375465E-2</c:v>
                </c:pt>
                <c:pt idx="11">
                  <c:v>2.3767472372205681E-2</c:v>
                </c:pt>
                <c:pt idx="12">
                  <c:v>2.4131370782016621E-2</c:v>
                </c:pt>
                <c:pt idx="13">
                  <c:v>2.4582645386167674E-2</c:v>
                </c:pt>
                <c:pt idx="14">
                  <c:v>2.445775478718577E-2</c:v>
                </c:pt>
                <c:pt idx="15">
                  <c:v>2.3996041889997526E-2</c:v>
                </c:pt>
                <c:pt idx="16">
                  <c:v>2.46E-2</c:v>
                </c:pt>
                <c:pt idx="17">
                  <c:v>2.52E-2</c:v>
                </c:pt>
                <c:pt idx="18">
                  <c:v>2.5785506381073214E-2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2-4549-B8E3-2B534AA99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450168"/>
        <c:axId val="843449848"/>
      </c:lineChart>
      <c:dateAx>
        <c:axId val="843424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JhengHei UI Light" panose="020B0304030504040204" pitchFamily="34" charset="-120"/>
                    <a:ea typeface="Microsoft JhengHei UI Light" panose="020B0304030504040204" pitchFamily="34" charset="-120"/>
                    <a:cs typeface="+mn-cs"/>
                  </a:defRPr>
                </a:pPr>
                <a:r>
                  <a:rPr lang="en-IN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crosoft JhengHei UI Light" panose="020B0304030504040204" pitchFamily="34" charset="-120"/>
                  <a:ea typeface="Microsoft JhengHei UI Light" panose="020B0304030504040204" pitchFamily="34" charset="-120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 UI Light" panose="020B0304030504040204" pitchFamily="34" charset="-120"/>
                <a:ea typeface="Microsoft JhengHei UI Light" panose="020B0304030504040204" pitchFamily="34" charset="-120"/>
                <a:cs typeface="+mn-cs"/>
              </a:defRPr>
            </a:pPr>
            <a:endParaRPr lang="en-US"/>
          </a:p>
        </c:txPr>
        <c:crossAx val="843441208"/>
        <c:crosses val="autoZero"/>
        <c:auto val="1"/>
        <c:lblOffset val="100"/>
        <c:baseTimeUnit val="days"/>
        <c:majorUnit val="3"/>
        <c:majorTimeUnit val="days"/>
      </c:dateAx>
      <c:valAx>
        <c:axId val="84344120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JhengHei UI Light" panose="020B0304030504040204" pitchFamily="34" charset="-120"/>
                    <a:ea typeface="Microsoft JhengHei UI Light" panose="020B0304030504040204" pitchFamily="34" charset="-120"/>
                    <a:cs typeface="+mn-cs"/>
                  </a:defRPr>
                </a:pPr>
                <a:r>
                  <a:rPr lang="en-IN" b="1"/>
                  <a:t>Positive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crosoft JhengHei UI Light" panose="020B0304030504040204" pitchFamily="34" charset="-120"/>
                  <a:ea typeface="Microsoft JhengHei UI Light" panose="020B0304030504040204" pitchFamily="34" charset="-12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 UI Light" panose="020B0304030504040204" pitchFamily="34" charset="-120"/>
                <a:ea typeface="Microsoft JhengHei UI Light" panose="020B0304030504040204" pitchFamily="34" charset="-120"/>
                <a:cs typeface="+mn-cs"/>
              </a:defRPr>
            </a:pPr>
            <a:endParaRPr lang="en-US"/>
          </a:p>
        </c:txPr>
        <c:crossAx val="843424888"/>
        <c:crosses val="autoZero"/>
        <c:crossBetween val="between"/>
      </c:valAx>
      <c:valAx>
        <c:axId val="843449848"/>
        <c:scaling>
          <c:orientation val="minMax"/>
          <c:min val="1.000000000000000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JhengHei UI Light" panose="020B0304030504040204" pitchFamily="34" charset="-120"/>
                    <a:ea typeface="Microsoft JhengHei UI Light" panose="020B0304030504040204" pitchFamily="34" charset="-120"/>
                    <a:cs typeface="+mn-cs"/>
                  </a:defRPr>
                </a:pPr>
                <a:r>
                  <a:rPr lang="en-IN" b="1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crosoft JhengHei UI Light" panose="020B0304030504040204" pitchFamily="34" charset="-120"/>
                  <a:ea typeface="Microsoft JhengHei UI Light" panose="020B0304030504040204" pitchFamily="34" charset="-120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 UI Light" panose="020B0304030504040204" pitchFamily="34" charset="-120"/>
                <a:ea typeface="Microsoft JhengHei UI Light" panose="020B0304030504040204" pitchFamily="34" charset="-120"/>
                <a:cs typeface="+mn-cs"/>
              </a:defRPr>
            </a:pPr>
            <a:endParaRPr lang="en-US"/>
          </a:p>
        </c:txPr>
        <c:crossAx val="843450168"/>
        <c:crosses val="max"/>
        <c:crossBetween val="between"/>
      </c:valAx>
      <c:dateAx>
        <c:axId val="843450168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\ h:mm" sourceLinked="1"/>
        <c:majorTickMark val="out"/>
        <c:minorTickMark val="none"/>
        <c:tickLblPos val="nextTo"/>
        <c:crossAx val="8434498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UI Light" panose="020B0304030504040204" pitchFamily="34" charset="-120"/>
              <a:ea typeface="Microsoft JhengHei UI Light" panose="020B0304030504040204" pitchFamily="34" charset="-12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 UI Light" panose="020B0304030504040204" pitchFamily="34" charset="-120"/>
          <a:ea typeface="Microsoft JhengHei UI Light" panose="020B0304030504040204" pitchFamily="34" charset="-12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Microsoft JhengHei UI Light" panose="020B0304030504040204" pitchFamily="34" charset="-120"/>
                <a:ea typeface="Microsoft JhengHei UI Light" panose="020B0304030504040204" pitchFamily="34" charset="-120"/>
                <a:cs typeface="+mn-cs"/>
              </a:defRPr>
            </a:pPr>
            <a:r>
              <a:rPr lang="en-US" sz="1400"/>
              <a:t>New Cases of COVID-19 in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Microsoft JhengHei UI Light" panose="020B0304030504040204" pitchFamily="34" charset="-120"/>
              <a:ea typeface="Microsoft JhengHei UI Light" panose="020B0304030504040204" pitchFamily="34" charset="-12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ICMR!$E$1:$E$2</c:f>
              <c:strCache>
                <c:ptCount val="2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Microsoft JhengHei UI Light" panose="020B0304030504040204" pitchFamily="34" charset="-120"/>
                    <a:ea typeface="Microsoft JhengHei UI Light" panose="020B0304030504040204" pitchFamily="34" charset="-12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ICMR!$A$3:$A$26</c:f>
              <c:numCache>
                <c:formatCode>m/d/yyyy\ h:mm</c:formatCode>
                <c:ptCount val="24"/>
                <c:pt idx="0">
                  <c:v>43908.75</c:v>
                </c:pt>
                <c:pt idx="1">
                  <c:v>43909.416666666664</c:v>
                </c:pt>
                <c:pt idx="2">
                  <c:v>43909.75</c:v>
                </c:pt>
                <c:pt idx="3">
                  <c:v>43910.416666666664</c:v>
                </c:pt>
                <c:pt idx="4">
                  <c:v>43910.75</c:v>
                </c:pt>
                <c:pt idx="5">
                  <c:v>43911.416666666664</c:v>
                </c:pt>
                <c:pt idx="6">
                  <c:v>43911.75</c:v>
                </c:pt>
                <c:pt idx="7">
                  <c:v>43912.416666666664</c:v>
                </c:pt>
                <c:pt idx="8">
                  <c:v>43912.75</c:v>
                </c:pt>
                <c:pt idx="9">
                  <c:v>43913.416666666664</c:v>
                </c:pt>
                <c:pt idx="10">
                  <c:v>43913.833333333336</c:v>
                </c:pt>
                <c:pt idx="11">
                  <c:v>43914.416666666664</c:v>
                </c:pt>
                <c:pt idx="12">
                  <c:v>43914.833333333336</c:v>
                </c:pt>
                <c:pt idx="13">
                  <c:v>43915.416666666664</c:v>
                </c:pt>
                <c:pt idx="14">
                  <c:v>43915.833333333336</c:v>
                </c:pt>
                <c:pt idx="15">
                  <c:v>43916.416666666664</c:v>
                </c:pt>
                <c:pt idx="16">
                  <c:v>43916.833333333336</c:v>
                </c:pt>
                <c:pt idx="17">
                  <c:v>43917.375</c:v>
                </c:pt>
                <c:pt idx="18">
                  <c:v>43917.375</c:v>
                </c:pt>
                <c:pt idx="19">
                  <c:v>43918.375</c:v>
                </c:pt>
                <c:pt idx="20">
                  <c:v>43918.833333333336</c:v>
                </c:pt>
                <c:pt idx="21">
                  <c:v>43919.375</c:v>
                </c:pt>
                <c:pt idx="22">
                  <c:v>43919.833333333336</c:v>
                </c:pt>
                <c:pt idx="23">
                  <c:v>43920.375</c:v>
                </c:pt>
              </c:numCache>
            </c:numRef>
          </c:cat>
          <c:val>
            <c:numRef>
              <c:f>ICMR!$E$3:$E$26</c:f>
              <c:numCache>
                <c:formatCode>General</c:formatCode>
                <c:ptCount val="24"/>
                <c:pt idx="0">
                  <c:v>72</c:v>
                </c:pt>
                <c:pt idx="1">
                  <c:v>18</c:v>
                </c:pt>
                <c:pt idx="2">
                  <c:v>14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44</c:v>
                </c:pt>
                <c:pt idx="7">
                  <c:v>26</c:v>
                </c:pt>
                <c:pt idx="8">
                  <c:v>55</c:v>
                </c:pt>
                <c:pt idx="9">
                  <c:v>19</c:v>
                </c:pt>
                <c:pt idx="10">
                  <c:v>56</c:v>
                </c:pt>
                <c:pt idx="11">
                  <c:v>11</c:v>
                </c:pt>
                <c:pt idx="12">
                  <c:v>54</c:v>
                </c:pt>
                <c:pt idx="13">
                  <c:v>3</c:v>
                </c:pt>
                <c:pt idx="14">
                  <c:v>43</c:v>
                </c:pt>
                <c:pt idx="15">
                  <c:v>22</c:v>
                </c:pt>
                <c:pt idx="16">
                  <c:v>69</c:v>
                </c:pt>
                <c:pt idx="17">
                  <c:v>18</c:v>
                </c:pt>
                <c:pt idx="18">
                  <c:v>113</c:v>
                </c:pt>
                <c:pt idx="19">
                  <c:v>29</c:v>
                </c:pt>
                <c:pt idx="20">
                  <c:v>108</c:v>
                </c:pt>
                <c:pt idx="21">
                  <c:v>22</c:v>
                </c:pt>
                <c:pt idx="22">
                  <c:v>87</c:v>
                </c:pt>
                <c:pt idx="2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8-46A0-B307-41CA586E9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373880"/>
        <c:axId val="854372600"/>
      </c:lineChart>
      <c:catAx>
        <c:axId val="854373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Microsoft JhengHei UI Light" panose="020B0304030504040204" pitchFamily="34" charset="-120"/>
                    <a:ea typeface="Microsoft JhengHei UI Light" panose="020B0304030504040204" pitchFamily="34" charset="-120"/>
                    <a:cs typeface="+mn-cs"/>
                  </a:defRPr>
                </a:pPr>
                <a:r>
                  <a:rPr lang="en-IN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Microsoft JhengHei UI Light" panose="020B0304030504040204" pitchFamily="34" charset="-120"/>
                  <a:ea typeface="Microsoft JhengHei UI Light" panose="020B0304030504040204" pitchFamily="34" charset="-120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Microsoft JhengHei UI Light" panose="020B0304030504040204" pitchFamily="34" charset="-120"/>
                <a:ea typeface="Microsoft JhengHei UI Light" panose="020B0304030504040204" pitchFamily="34" charset="-120"/>
                <a:cs typeface="+mn-cs"/>
              </a:defRPr>
            </a:pPr>
            <a:endParaRPr lang="en-US"/>
          </a:p>
        </c:txPr>
        <c:crossAx val="854372600"/>
        <c:crosses val="autoZero"/>
        <c:auto val="0"/>
        <c:lblAlgn val="ctr"/>
        <c:lblOffset val="100"/>
        <c:tickLblSkip val="3"/>
        <c:noMultiLvlLbl val="0"/>
      </c:catAx>
      <c:valAx>
        <c:axId val="854372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Microsoft JhengHei UI Light" panose="020B0304030504040204" pitchFamily="34" charset="-120"/>
                    <a:ea typeface="Microsoft JhengHei UI Light" panose="020B0304030504040204" pitchFamily="34" charset="-120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Microsoft JhengHei UI Light" panose="020B0304030504040204" pitchFamily="34" charset="-120"/>
                  <a:ea typeface="Microsoft JhengHei UI Light" panose="020B0304030504040204" pitchFamily="34" charset="-12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Microsoft JhengHei UI Light" panose="020B0304030504040204" pitchFamily="34" charset="-120"/>
                <a:ea typeface="Microsoft JhengHei UI Light" panose="020B0304030504040204" pitchFamily="34" charset="-120"/>
                <a:cs typeface="+mn-cs"/>
              </a:defRPr>
            </a:pPr>
            <a:endParaRPr lang="en-US"/>
          </a:p>
        </c:txPr>
        <c:crossAx val="85437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Microsoft JhengHei UI Light" panose="020B0304030504040204" pitchFamily="34" charset="-120"/>
          <a:ea typeface="Microsoft JhengHei UI Light" panose="020B0304030504040204" pitchFamily="34" charset="-12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Microsoft JhengHei UI Light" panose="020B0304030504040204" pitchFamily="34" charset="-120"/>
                <a:ea typeface="Microsoft JhengHei UI Light" panose="020B0304030504040204" pitchFamily="34" charset="-120"/>
                <a:cs typeface="+mn-cs"/>
              </a:defRPr>
            </a:pPr>
            <a:r>
              <a:rPr lang="en-US" sz="1400"/>
              <a:t>Growth of COVID-19 Cases in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Microsoft JhengHei UI Light" panose="020B0304030504040204" pitchFamily="34" charset="-120"/>
              <a:ea typeface="Microsoft JhengHei UI Light" panose="020B0304030504040204" pitchFamily="34" charset="-12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ICMR!$J$1:$J$2</c:f>
              <c:strCache>
                <c:ptCount val="2"/>
                <c:pt idx="0">
                  <c:v>Case Growth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lt1"/>
                    </a:solidFill>
                    <a:latin typeface="Microsoft JhengHei UI Light" panose="020B0304030504040204" pitchFamily="34" charset="-120"/>
                    <a:ea typeface="Microsoft JhengHei UI Light" panose="020B0304030504040204" pitchFamily="34" charset="-120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ICMR!$A$3:$A$26</c:f>
              <c:numCache>
                <c:formatCode>m/d/yyyy\ h:mm</c:formatCode>
                <c:ptCount val="24"/>
                <c:pt idx="0">
                  <c:v>43908.75</c:v>
                </c:pt>
                <c:pt idx="1">
                  <c:v>43909.416666666664</c:v>
                </c:pt>
                <c:pt idx="2">
                  <c:v>43909.75</c:v>
                </c:pt>
                <c:pt idx="3">
                  <c:v>43910.416666666664</c:v>
                </c:pt>
                <c:pt idx="4">
                  <c:v>43910.75</c:v>
                </c:pt>
                <c:pt idx="5">
                  <c:v>43911.416666666664</c:v>
                </c:pt>
                <c:pt idx="6">
                  <c:v>43911.75</c:v>
                </c:pt>
                <c:pt idx="7">
                  <c:v>43912.416666666664</c:v>
                </c:pt>
                <c:pt idx="8">
                  <c:v>43912.75</c:v>
                </c:pt>
                <c:pt idx="9">
                  <c:v>43913.416666666664</c:v>
                </c:pt>
                <c:pt idx="10">
                  <c:v>43913.833333333336</c:v>
                </c:pt>
                <c:pt idx="11">
                  <c:v>43914.416666666664</c:v>
                </c:pt>
                <c:pt idx="12">
                  <c:v>43914.833333333336</c:v>
                </c:pt>
                <c:pt idx="13">
                  <c:v>43915.416666666664</c:v>
                </c:pt>
                <c:pt idx="14">
                  <c:v>43915.833333333336</c:v>
                </c:pt>
                <c:pt idx="15">
                  <c:v>43916.416666666664</c:v>
                </c:pt>
                <c:pt idx="16">
                  <c:v>43916.833333333336</c:v>
                </c:pt>
                <c:pt idx="17">
                  <c:v>43917.375</c:v>
                </c:pt>
                <c:pt idx="18">
                  <c:v>43917.375</c:v>
                </c:pt>
                <c:pt idx="19">
                  <c:v>43918.375</c:v>
                </c:pt>
                <c:pt idx="20">
                  <c:v>43918.833333333336</c:v>
                </c:pt>
                <c:pt idx="21">
                  <c:v>43919.375</c:v>
                </c:pt>
                <c:pt idx="22">
                  <c:v>43919.833333333336</c:v>
                </c:pt>
                <c:pt idx="23">
                  <c:v>43920.375</c:v>
                </c:pt>
              </c:numCache>
            </c:numRef>
          </c:cat>
          <c:val>
            <c:numRef>
              <c:f>ICMR!$J$4:$J$26</c:f>
              <c:numCache>
                <c:formatCode>0.00%</c:formatCode>
                <c:ptCount val="23"/>
                <c:pt idx="0">
                  <c:v>0.12000000000000011</c:v>
                </c:pt>
                <c:pt idx="1">
                  <c:v>8.3333333333333259E-2</c:v>
                </c:pt>
                <c:pt idx="2">
                  <c:v>0.13186813186813184</c:v>
                </c:pt>
                <c:pt idx="3">
                  <c:v>0.14563106796116498</c:v>
                </c:pt>
                <c:pt idx="4">
                  <c:v>0.14830508474576276</c:v>
                </c:pt>
                <c:pt idx="5">
                  <c:v>0.16236162361623618</c:v>
                </c:pt>
                <c:pt idx="6">
                  <c:v>8.2539682539682468E-2</c:v>
                </c:pt>
                <c:pt idx="7">
                  <c:v>0.16129032258064524</c:v>
                </c:pt>
                <c:pt idx="8">
                  <c:v>4.7979797979798011E-2</c:v>
                </c:pt>
                <c:pt idx="9">
                  <c:v>0.13493975903614452</c:v>
                </c:pt>
                <c:pt idx="10">
                  <c:v>2.3354564755838636E-2</c:v>
                </c:pt>
                <c:pt idx="11">
                  <c:v>0.11203319502074693</c:v>
                </c:pt>
                <c:pt idx="12">
                  <c:v>5.5970149253732338E-3</c:v>
                </c:pt>
                <c:pt idx="13">
                  <c:v>7.9777365491651153E-2</c:v>
                </c:pt>
                <c:pt idx="14">
                  <c:v>3.7499999999999999E-2</c:v>
                </c:pt>
                <c:pt idx="15">
                  <c:v>0.11423841059602657</c:v>
                </c:pt>
                <c:pt idx="16">
                  <c:v>2.6745913818722045E-2</c:v>
                </c:pt>
                <c:pt idx="17">
                  <c:v>0.16353111432706213</c:v>
                </c:pt>
                <c:pt idx="18">
                  <c:v>3.6069651741293507E-2</c:v>
                </c:pt>
                <c:pt idx="19">
                  <c:v>0.1296518607442978</c:v>
                </c:pt>
                <c:pt idx="20">
                  <c:v>2.3379383634431372E-2</c:v>
                </c:pt>
                <c:pt idx="21">
                  <c:v>9.0342679127725756E-2</c:v>
                </c:pt>
                <c:pt idx="22">
                  <c:v>3.0476190476190546E-2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4-4D6F-95CB-0F0F1BDC09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9618160"/>
        <c:axId val="359617200"/>
      </c:lineChart>
      <c:catAx>
        <c:axId val="359618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Microsoft JhengHei UI Light" panose="020B0304030504040204" pitchFamily="34" charset="-120"/>
                    <a:ea typeface="Microsoft JhengHei UI Light" panose="020B0304030504040204" pitchFamily="34" charset="-120"/>
                    <a:cs typeface="+mn-cs"/>
                  </a:defRPr>
                </a:pPr>
                <a:r>
                  <a:rPr lang="en-IN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Microsoft JhengHei UI Light" panose="020B0304030504040204" pitchFamily="34" charset="-120"/>
                  <a:ea typeface="Microsoft JhengHei UI Light" panose="020B0304030504040204" pitchFamily="34" charset="-120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Microsoft JhengHei UI Light" panose="020B0304030504040204" pitchFamily="34" charset="-120"/>
                <a:ea typeface="Microsoft JhengHei UI Light" panose="020B0304030504040204" pitchFamily="34" charset="-120"/>
                <a:cs typeface="+mn-cs"/>
              </a:defRPr>
            </a:pPr>
            <a:endParaRPr lang="en-US"/>
          </a:p>
        </c:txPr>
        <c:crossAx val="359617200"/>
        <c:crosses val="autoZero"/>
        <c:auto val="0"/>
        <c:lblAlgn val="ctr"/>
        <c:lblOffset val="100"/>
        <c:tickLblSkip val="4"/>
        <c:noMultiLvlLbl val="0"/>
      </c:catAx>
      <c:valAx>
        <c:axId val="359617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Microsoft JhengHei UI Light" panose="020B0304030504040204" pitchFamily="34" charset="-120"/>
                    <a:ea typeface="Microsoft JhengHei UI Light" panose="020B0304030504040204" pitchFamily="34" charset="-120"/>
                    <a:cs typeface="+mn-cs"/>
                  </a:defRPr>
                </a:pPr>
                <a:r>
                  <a:rPr lang="en-IN"/>
                  <a:t>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Microsoft JhengHei UI Light" panose="020B0304030504040204" pitchFamily="34" charset="-120"/>
                  <a:ea typeface="Microsoft JhengHei UI Light" panose="020B0304030504040204" pitchFamily="34" charset="-120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Microsoft JhengHei UI Light" panose="020B0304030504040204" pitchFamily="34" charset="-120"/>
                <a:ea typeface="Microsoft JhengHei UI Light" panose="020B0304030504040204" pitchFamily="34" charset="-120"/>
                <a:cs typeface="+mn-cs"/>
              </a:defRPr>
            </a:pPr>
            <a:endParaRPr lang="en-US"/>
          </a:p>
        </c:txPr>
        <c:crossAx val="35961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Microsoft JhengHei UI Light" panose="020B0304030504040204" pitchFamily="34" charset="-120"/>
          <a:ea typeface="Microsoft JhengHei UI Light" panose="020B0304030504040204" pitchFamily="34" charset="-12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UI Light" panose="020B0304030504040204" pitchFamily="34" charset="-120"/>
              <a:ea typeface="Microsoft JhengHei UI Light" panose="020B0304030504040204" pitchFamily="34" charset="-12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ICMR!$X$25</c:f>
              <c:strCache>
                <c:ptCount val="1"/>
                <c:pt idx="0">
                  <c:v>Infection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ICMR!$W$26:$W$37</c:f>
              <c:numCache>
                <c:formatCode>d\-mmm\-yy</c:formatCode>
                <c:ptCount val="1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</c:numCache>
            </c:numRef>
          </c:xVal>
          <c:yVal>
            <c:numRef>
              <c:f>ICMR!$X$26:$X$37</c:f>
              <c:numCache>
                <c:formatCode>0.00%</c:formatCode>
                <c:ptCount val="12"/>
                <c:pt idx="0">
                  <c:v>3.0476190476190476E-2</c:v>
                </c:pt>
                <c:pt idx="1">
                  <c:v>4.3938161106590726E-2</c:v>
                </c:pt>
                <c:pt idx="2">
                  <c:v>5.2422030524220307E-2</c:v>
                </c:pt>
                <c:pt idx="3">
                  <c:v>6.6611842105263164E-2</c:v>
                </c:pt>
                <c:pt idx="4">
                  <c:v>2.9069767441860465E-2</c:v>
                </c:pt>
                <c:pt idx="5">
                  <c:v>3.2712632108706591E-2</c:v>
                </c:pt>
                <c:pt idx="6">
                  <c:v>1.8775510204081632E-2</c:v>
                </c:pt>
                <c:pt idx="7">
                  <c:v>3.5770440251572326E-2</c:v>
                </c:pt>
                <c:pt idx="8">
                  <c:v>3.3579525936104429E-2</c:v>
                </c:pt>
                <c:pt idx="9">
                  <c:v>6.097560975609756E-2</c:v>
                </c:pt>
                <c:pt idx="10">
                  <c:v>5.6168894053844662E-2</c:v>
                </c:pt>
                <c:pt idx="11">
                  <c:v>5.3037974683544306E-2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A-49A6-921A-70117D610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08216"/>
        <c:axId val="579508536"/>
      </c:scatterChart>
      <c:valAx>
        <c:axId val="57950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JhengHei UI Light" panose="020B0304030504040204" pitchFamily="34" charset="-120"/>
                    <a:ea typeface="Microsoft JhengHei UI Light" panose="020B0304030504040204" pitchFamily="34" charset="-120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crosoft JhengHei UI Light" panose="020B0304030504040204" pitchFamily="34" charset="-120"/>
                  <a:ea typeface="Microsoft JhengHei UI Light" panose="020B0304030504040204" pitchFamily="34" charset="-120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 UI Light" panose="020B0304030504040204" pitchFamily="34" charset="-120"/>
                <a:ea typeface="Microsoft JhengHei UI Light" panose="020B0304030504040204" pitchFamily="34" charset="-120"/>
                <a:cs typeface="+mn-cs"/>
              </a:defRPr>
            </a:pPr>
            <a:endParaRPr lang="en-US"/>
          </a:p>
        </c:txPr>
        <c:crossAx val="579508536"/>
        <c:crosses val="autoZero"/>
        <c:crossBetween val="midCat"/>
        <c:majorUnit val="4"/>
      </c:valAx>
      <c:valAx>
        <c:axId val="579508536"/>
        <c:scaling>
          <c:orientation val="minMax"/>
          <c:max val="8.0000000000000016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JhengHei UI Light" panose="020B0304030504040204" pitchFamily="34" charset="-120"/>
                    <a:ea typeface="Microsoft JhengHei UI Light" panose="020B0304030504040204" pitchFamily="34" charset="-120"/>
                    <a:cs typeface="+mn-cs"/>
                  </a:defRPr>
                </a:pPr>
                <a:r>
                  <a:rPr lang="en-IN" b="1"/>
                  <a:t>Infection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crosoft JhengHei UI Light" panose="020B0304030504040204" pitchFamily="34" charset="-120"/>
                  <a:ea typeface="Microsoft JhengHei UI Light" panose="020B0304030504040204" pitchFamily="34" charset="-120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 UI Light" panose="020B0304030504040204" pitchFamily="34" charset="-120"/>
                <a:ea typeface="Microsoft JhengHei UI Light" panose="020B0304030504040204" pitchFamily="34" charset="-120"/>
                <a:cs typeface="+mn-cs"/>
              </a:defRPr>
            </a:pPr>
            <a:endParaRPr lang="en-US"/>
          </a:p>
        </c:txPr>
        <c:crossAx val="57950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 UI Light" panose="020B0304030504040204" pitchFamily="34" charset="-120"/>
          <a:ea typeface="Microsoft JhengHei UI Light" panose="020B0304030504040204" pitchFamily="34" charset="-12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Microsoft JhengHei UI Light" panose="020B0304030504040204" pitchFamily="34" charset="-120"/>
                <a:ea typeface="Microsoft JhengHei UI Light" panose="020B0304030504040204" pitchFamily="34" charset="-120"/>
                <a:cs typeface="+mn-cs"/>
              </a:defRPr>
            </a:pPr>
            <a:r>
              <a:rPr lang="en-IN"/>
              <a:t>Daily Growth of COVID-19 Cases in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Microsoft JhengHei UI Light" panose="020B0304030504040204" pitchFamily="34" charset="-120"/>
              <a:ea typeface="Microsoft JhengHei UI Light" panose="020B0304030504040204" pitchFamily="34" charset="-12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States!$AE$1:$AE$2</c:f>
              <c:strCache>
                <c:ptCount val="2"/>
                <c:pt idx="0">
                  <c:v>Daily Growth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States!$A$3:$A$34</c:f>
              <c:numCache>
                <c:formatCode>m/d/yyyy</c:formatCode>
                <c:ptCount val="32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</c:numCache>
            </c:numRef>
          </c:cat>
          <c:val>
            <c:numRef>
              <c:f>States!$AG$5:$AG$34</c:f>
              <c:numCache>
                <c:formatCode>0.00%</c:formatCode>
                <c:ptCount val="30"/>
                <c:pt idx="0">
                  <c:v>7.1428571428571425E-2</c:v>
                </c:pt>
                <c:pt idx="1">
                  <c:v>3.3333333333333333E-2</c:v>
                </c:pt>
                <c:pt idx="2">
                  <c:v>9.6774193548387094E-2</c:v>
                </c:pt>
                <c:pt idx="3">
                  <c:v>0.14705882352941177</c:v>
                </c:pt>
                <c:pt idx="4">
                  <c:v>0.23076923076923078</c:v>
                </c:pt>
                <c:pt idx="5">
                  <c:v>0.3125</c:v>
                </c:pt>
                <c:pt idx="6">
                  <c:v>0.1111111111111111</c:v>
                </c:pt>
                <c:pt idx="7">
                  <c:v>0.17142857142857143</c:v>
                </c:pt>
                <c:pt idx="8">
                  <c:v>0.10975609756097561</c:v>
                </c:pt>
                <c:pt idx="9">
                  <c:v>0.17582417582417584</c:v>
                </c:pt>
                <c:pt idx="10">
                  <c:v>5.6074766355140186E-2</c:v>
                </c:pt>
                <c:pt idx="11">
                  <c:v>0.12389380530973451</c:v>
                </c:pt>
                <c:pt idx="12">
                  <c:v>0.14960629921259844</c:v>
                </c:pt>
                <c:pt idx="13">
                  <c:v>0.17123287671232876</c:v>
                </c:pt>
                <c:pt idx="14">
                  <c:v>0.16374269005847952</c:v>
                </c:pt>
                <c:pt idx="15">
                  <c:v>0.29648241206030151</c:v>
                </c:pt>
                <c:pt idx="16">
                  <c:v>0.29457364341085274</c:v>
                </c:pt>
                <c:pt idx="17">
                  <c:v>0.20658682634730538</c:v>
                </c:pt>
                <c:pt idx="18">
                  <c:v>0.25310173697270472</c:v>
                </c:pt>
                <c:pt idx="19">
                  <c:v>0.1306930693069307</c:v>
                </c:pt>
                <c:pt idx="20">
                  <c:v>0.15061295971978983</c:v>
                </c:pt>
                <c:pt idx="21">
                  <c:v>0.11872146118721461</c:v>
                </c:pt>
                <c:pt idx="22">
                  <c:v>0.20544217687074831</c:v>
                </c:pt>
                <c:pt idx="23">
                  <c:v>0.16139954853273139</c:v>
                </c:pt>
                <c:pt idx="24">
                  <c:v>0.10689990281827016</c:v>
                </c:pt>
                <c:pt idx="25">
                  <c:v>0.18261633011413519</c:v>
                </c:pt>
                <c:pt idx="26">
                  <c:v>0.20193021529324426</c:v>
                </c:pt>
                <c:pt idx="27">
                  <c:v>0.27177269919703523</c:v>
                </c:pt>
                <c:pt idx="28">
                  <c:v>0.23603691112190384</c:v>
                </c:pt>
                <c:pt idx="29">
                  <c:v>0.22121807465618862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3-4020-8FA3-D13E8584F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696568"/>
        <c:axId val="810696888"/>
      </c:lineChart>
      <c:dateAx>
        <c:axId val="810696568"/>
        <c:scaling>
          <c:orientation val="minMax"/>
          <c:max val="43928"/>
          <c:min val="43892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Microsoft JhengHei UI Light" panose="020B0304030504040204" pitchFamily="34" charset="-120"/>
                <a:ea typeface="Microsoft JhengHei UI Light" panose="020B0304030504040204" pitchFamily="34" charset="-120"/>
                <a:cs typeface="+mn-cs"/>
              </a:defRPr>
            </a:pPr>
            <a:endParaRPr lang="en-US"/>
          </a:p>
        </c:txPr>
        <c:crossAx val="810696888"/>
        <c:crosses val="autoZero"/>
        <c:auto val="1"/>
        <c:lblOffset val="100"/>
        <c:baseTimeUnit val="days"/>
        <c:majorUnit val="7"/>
        <c:majorTimeUnit val="days"/>
      </c:dateAx>
      <c:valAx>
        <c:axId val="81069688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Microsoft JhengHei UI Light" panose="020B0304030504040204" pitchFamily="34" charset="-120"/>
                <a:ea typeface="Microsoft JhengHei UI Light" panose="020B0304030504040204" pitchFamily="34" charset="-120"/>
                <a:cs typeface="+mn-cs"/>
              </a:defRPr>
            </a:pPr>
            <a:endParaRPr lang="en-US"/>
          </a:p>
        </c:txPr>
        <c:crossAx val="81069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Microsoft JhengHei UI Light" panose="020B0304030504040204" pitchFamily="34" charset="-120"/>
          <a:ea typeface="Microsoft JhengHei UI Light" panose="020B0304030504040204" pitchFamily="34" charset="-12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'Effective Active'!$E$1:$E$2</c:f>
              <c:strCache>
                <c:ptCount val="2"/>
                <c:pt idx="0">
                  <c:v>Growth in 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'Effective Active'!$A$3:$A$29</c:f>
              <c:numCache>
                <c:formatCode>m/d/yyyy</c:formatCode>
                <c:ptCount val="27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</c:numCache>
            </c:numRef>
          </c:cat>
          <c:val>
            <c:numRef>
              <c:f>'Effective Active'!$E$3:$E$29</c:f>
              <c:numCache>
                <c:formatCode>0.00%</c:formatCode>
                <c:ptCount val="27"/>
                <c:pt idx="0">
                  <c:v>4.761904761904745E-3</c:v>
                </c:pt>
                <c:pt idx="1">
                  <c:v>-3.5545023696682464E-2</c:v>
                </c:pt>
                <c:pt idx="2">
                  <c:v>3.4398034398034537E-2</c:v>
                </c:pt>
                <c:pt idx="3">
                  <c:v>9.7387173396674354E-2</c:v>
                </c:pt>
                <c:pt idx="4">
                  <c:v>0.207792207792208</c:v>
                </c:pt>
                <c:pt idx="5">
                  <c:v>0.3172043010752687</c:v>
                </c:pt>
                <c:pt idx="6">
                  <c:v>5.7142857142857086E-2</c:v>
                </c:pt>
                <c:pt idx="7">
                  <c:v>0.14157014157014175</c:v>
                </c:pt>
                <c:pt idx="8">
                  <c:v>5.9751972942502778E-2</c:v>
                </c:pt>
                <c:pt idx="9">
                  <c:v>0.15851063829787215</c:v>
                </c:pt>
                <c:pt idx="10">
                  <c:v>-1.5610651974288039E-2</c:v>
                </c:pt>
                <c:pt idx="11">
                  <c:v>9.0485074626865475E-2</c:v>
                </c:pt>
                <c:pt idx="12">
                  <c:v>0.13515825491873393</c:v>
                </c:pt>
                <c:pt idx="13">
                  <c:v>0.17256970610399397</c:v>
                </c:pt>
                <c:pt idx="14">
                  <c:v>0.16002570694087426</c:v>
                </c:pt>
                <c:pt idx="15">
                  <c:v>0.38005540166204982</c:v>
                </c:pt>
                <c:pt idx="16">
                  <c:v>0.35407466880770744</c:v>
                </c:pt>
                <c:pt idx="17">
                  <c:v>0.20782686036169579</c:v>
                </c:pt>
                <c:pt idx="18">
                  <c:v>0.27663230240549852</c:v>
                </c:pt>
                <c:pt idx="19">
                  <c:v>9.3251297827340832E-2</c:v>
                </c:pt>
                <c:pt idx="20">
                  <c:v>0.12645093211396413</c:v>
                </c:pt>
                <c:pt idx="21">
                  <c:v>8.0093676814988399E-2</c:v>
                </c:pt>
                <c:pt idx="22">
                  <c:v>0.22116218560277534</c:v>
                </c:pt>
                <c:pt idx="23">
                  <c:v>0.14902935606060597</c:v>
                </c:pt>
                <c:pt idx="24">
                  <c:v>6.397445142680537E-2</c:v>
                </c:pt>
                <c:pt idx="25">
                  <c:v>0.19471340046475608</c:v>
                </c:pt>
                <c:pt idx="26">
                  <c:v>0.21889942458870254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6-484B-AF50-5EDAE874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92728"/>
        <c:axId val="810694968"/>
      </c:lineChart>
      <c:dateAx>
        <c:axId val="810692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94968"/>
        <c:crosses val="autoZero"/>
        <c:auto val="1"/>
        <c:lblOffset val="100"/>
        <c:baseTimeUnit val="days"/>
      </c:dateAx>
      <c:valAx>
        <c:axId val="81069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9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UI Light" panose="020B0304030504040204" pitchFamily="34" charset="-120"/>
              <a:ea typeface="Microsoft JhengHei UI Light" panose="020B0304030504040204" pitchFamily="34" charset="-12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'Effective Active'!$D$1</c:f>
              <c:strCache>
                <c:ptCount val="1"/>
                <c:pt idx="0">
                  <c:v>Effective Active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'Effective Active'!$A$2:$A$29</c:f>
              <c:numCache>
                <c:formatCode>m/d/yyyy</c:formatCode>
                <c:ptCount val="2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</c:numCache>
            </c:numRef>
          </c:xVal>
          <c:yVal>
            <c:numRef>
              <c:f>'Effective Active'!$D$2:$D$29</c:f>
              <c:numCache>
                <c:formatCode>General</c:formatCode>
                <c:ptCount val="28"/>
                <c:pt idx="0">
                  <c:v>28</c:v>
                </c:pt>
                <c:pt idx="1">
                  <c:v>28.133333333333333</c:v>
                </c:pt>
                <c:pt idx="2">
                  <c:v>27.133333333333333</c:v>
                </c:pt>
                <c:pt idx="3">
                  <c:v>28.06666666666667</c:v>
                </c:pt>
                <c:pt idx="4">
                  <c:v>30.799999999999997</c:v>
                </c:pt>
                <c:pt idx="5">
                  <c:v>37.200000000000003</c:v>
                </c:pt>
                <c:pt idx="6">
                  <c:v>49</c:v>
                </c:pt>
                <c:pt idx="7">
                  <c:v>51.8</c:v>
                </c:pt>
                <c:pt idx="8">
                  <c:v>59.13333333333334</c:v>
                </c:pt>
                <c:pt idx="9">
                  <c:v>62.666666666666671</c:v>
                </c:pt>
                <c:pt idx="10">
                  <c:v>72.599999999999994</c:v>
                </c:pt>
                <c:pt idx="11">
                  <c:v>71.466666666666683</c:v>
                </c:pt>
                <c:pt idx="12">
                  <c:v>77.933333333333337</c:v>
                </c:pt>
                <c:pt idx="13">
                  <c:v>88.466666666666669</c:v>
                </c:pt>
                <c:pt idx="14">
                  <c:v>103.73333333333333</c:v>
                </c:pt>
                <c:pt idx="15">
                  <c:v>120.33333333333336</c:v>
                </c:pt>
                <c:pt idx="16">
                  <c:v>166.06666666666669</c:v>
                </c:pt>
                <c:pt idx="17">
                  <c:v>224.86666666666665</c:v>
                </c:pt>
                <c:pt idx="18">
                  <c:v>271.59999999999997</c:v>
                </c:pt>
                <c:pt idx="19">
                  <c:v>346.73333333333335</c:v>
                </c:pt>
                <c:pt idx="20">
                  <c:v>379.06666666666666</c:v>
                </c:pt>
                <c:pt idx="21">
                  <c:v>427</c:v>
                </c:pt>
                <c:pt idx="22">
                  <c:v>461.20000000000005</c:v>
                </c:pt>
                <c:pt idx="23">
                  <c:v>563.20000000000005</c:v>
                </c:pt>
                <c:pt idx="24">
                  <c:v>647.13333333333333</c:v>
                </c:pt>
                <c:pt idx="25">
                  <c:v>688.5333333333333</c:v>
                </c:pt>
                <c:pt idx="26">
                  <c:v>822.6</c:v>
                </c:pt>
                <c:pt idx="27">
                  <c:v>1002.6666666666667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0-477F-85C6-0ED1ACFD2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713528"/>
        <c:axId val="810717688"/>
      </c:scatterChart>
      <c:valAx>
        <c:axId val="81071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JhengHei UI Light" panose="020B0304030504040204" pitchFamily="34" charset="-120"/>
                    <a:ea typeface="Microsoft JhengHei UI Light" panose="020B0304030504040204" pitchFamily="34" charset="-120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crosoft JhengHei UI Light" panose="020B0304030504040204" pitchFamily="34" charset="-120"/>
                  <a:ea typeface="Microsoft JhengHei UI Light" panose="020B0304030504040204" pitchFamily="34" charset="-120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 UI Light" panose="020B0304030504040204" pitchFamily="34" charset="-120"/>
                <a:ea typeface="Microsoft JhengHei UI Light" panose="020B0304030504040204" pitchFamily="34" charset="-120"/>
                <a:cs typeface="+mn-cs"/>
              </a:defRPr>
            </a:pPr>
            <a:endParaRPr lang="en-US"/>
          </a:p>
        </c:txPr>
        <c:crossAx val="810717688"/>
        <c:crosses val="autoZero"/>
        <c:crossBetween val="midCat"/>
        <c:majorUnit val="7"/>
      </c:valAx>
      <c:valAx>
        <c:axId val="810717688"/>
        <c:scaling>
          <c:logBase val="10"/>
          <c:orientation val="minMax"/>
          <c:max val="2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JhengHei UI Light" panose="020B0304030504040204" pitchFamily="34" charset="-120"/>
                    <a:ea typeface="Microsoft JhengHei UI Light" panose="020B0304030504040204" pitchFamily="34" charset="-120"/>
                    <a:cs typeface="+mn-cs"/>
                  </a:defRPr>
                </a:pPr>
                <a:r>
                  <a:rPr lang="en-IN" b="1"/>
                  <a:t>No.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crosoft JhengHei UI Light" panose="020B0304030504040204" pitchFamily="34" charset="-120"/>
                  <a:ea typeface="Microsoft JhengHei UI Light" panose="020B0304030504040204" pitchFamily="34" charset="-12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 UI Light" panose="020B0304030504040204" pitchFamily="34" charset="-120"/>
                <a:ea typeface="Microsoft JhengHei UI Light" panose="020B0304030504040204" pitchFamily="34" charset="-120"/>
                <a:cs typeface="+mn-cs"/>
              </a:defRPr>
            </a:pPr>
            <a:endParaRPr lang="en-US"/>
          </a:p>
        </c:txPr>
        <c:crossAx val="81071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 UI Light" panose="020B0304030504040204" pitchFamily="34" charset="-120"/>
          <a:ea typeface="Microsoft JhengHei UI Light" panose="020B0304030504040204" pitchFamily="34" charset="-12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13</xdr:row>
      <xdr:rowOff>4762</xdr:rowOff>
    </xdr:from>
    <xdr:to>
      <xdr:col>8</xdr:col>
      <xdr:colOff>352425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BEF877-2A17-4DDC-9D7A-C36F54CDC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147636</xdr:colOff>
      <xdr:row>36</xdr:row>
      <xdr:rowOff>90486</xdr:rowOff>
    </xdr:from>
    <xdr:to>
      <xdr:col>7</xdr:col>
      <xdr:colOff>876300</xdr:colOff>
      <xdr:row>60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C7F66-5368-4856-A8C5-EE06F6FDB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566737</xdr:colOff>
      <xdr:row>35</xdr:row>
      <xdr:rowOff>61912</xdr:rowOff>
    </xdr:from>
    <xdr:to>
      <xdr:col>13</xdr:col>
      <xdr:colOff>638175</xdr:colOff>
      <xdr:row>59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AAC67-21E6-4E43-8D44-AF2C77B99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33337</xdr:colOff>
      <xdr:row>43</xdr:row>
      <xdr:rowOff>33337</xdr:rowOff>
    </xdr:from>
    <xdr:to>
      <xdr:col>8</xdr:col>
      <xdr:colOff>428625</xdr:colOff>
      <xdr:row>67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B67EF8-72B0-4332-86F0-E038A2AD8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481012</xdr:colOff>
      <xdr:row>58</xdr:row>
      <xdr:rowOff>9525</xdr:rowOff>
    </xdr:from>
    <xdr:to>
      <xdr:col>13</xdr:col>
      <xdr:colOff>609600</xdr:colOff>
      <xdr:row>81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82F79-1616-4C9E-9676-25A6011E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166687</xdr:colOff>
      <xdr:row>17</xdr:row>
      <xdr:rowOff>52387</xdr:rowOff>
    </xdr:from>
    <xdr:to>
      <xdr:col>19</xdr:col>
      <xdr:colOff>157162</xdr:colOff>
      <xdr:row>36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B3C745-EBA9-441B-956B-6E9305465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0.52091</cdr:x>
      <cdr:y>0.2331</cdr:y>
    </cdr:from>
    <cdr:to>
      <cdr:x>0.66692</cdr:x>
      <cdr:y>0.27724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DB9C9E1-AF60-4B6A-86FB-36ABC222C9ED}"/>
            </a:ext>
          </a:extLst>
        </cdr:cNvPr>
        <cdr:cNvSpPr txBox="1"/>
      </cdr:nvSpPr>
      <cdr:spPr>
        <a:xfrm xmlns:a="http://schemas.openxmlformats.org/drawingml/2006/main">
          <a:off x="3262314" y="804864"/>
          <a:ext cx="914400" cy="1524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2"/>
          </a:solidFill>
        </a:ln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IN" sz="800" b="1">
              <a:solidFill>
                <a:schemeClr val="bg2">
                  <a:lumMod val="50000"/>
                </a:schemeClr>
              </a:solidFill>
              <a:latin typeface="Microsoft JhengHei UI Light" panose="020B0304030504040204" pitchFamily="34" charset="-120"/>
              <a:ea typeface="Microsoft JhengHei UI Light" panose="020B0304030504040204" pitchFamily="34" charset="-120"/>
            </a:rPr>
            <a:t>Source: ICMR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0.16766</cdr:x>
      <cdr:y>0.19733</cdr:y>
    </cdr:from>
    <cdr:to>
      <cdr:x>0.33134</cdr:x>
      <cdr:y>0.24159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855375-6576-4F71-9D40-A0F16A22F0FF}"/>
            </a:ext>
          </a:extLst>
        </cdr:cNvPr>
        <cdr:cNvSpPr txBox="1"/>
      </cdr:nvSpPr>
      <cdr:spPr>
        <a:xfrm xmlns:a="http://schemas.openxmlformats.org/drawingml/2006/main">
          <a:off x="936625" y="679450"/>
          <a:ext cx="914400" cy="1524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2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800">
              <a:latin typeface="Microsoft JhengHei UI Light" panose="020B0304030504040204" pitchFamily="34" charset="-120"/>
              <a:ea typeface="Microsoft JhengHei UI Light" panose="020B0304030504040204" pitchFamily="34" charset="-120"/>
            </a:rPr>
            <a:t>Source: ICMR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0.21634</cdr:x>
      <cdr:y>0.24988</cdr:y>
    </cdr:from>
    <cdr:to>
      <cdr:x>0.36277</cdr:x>
      <cdr:y>0.29464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93FF81-25E3-4B02-8ECB-327EE6D6F566}"/>
            </a:ext>
          </a:extLst>
        </cdr:cNvPr>
        <cdr:cNvSpPr txBox="1"/>
      </cdr:nvSpPr>
      <cdr:spPr>
        <a:xfrm xmlns:a="http://schemas.openxmlformats.org/drawingml/2006/main">
          <a:off x="1441450" y="850900"/>
          <a:ext cx="975592" cy="1524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2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800" b="1">
              <a:solidFill>
                <a:schemeClr val="bg2">
                  <a:lumMod val="50000"/>
                </a:schemeClr>
              </a:solidFill>
              <a:latin typeface="Microsoft JhengHei UI Light" panose="020B0304030504040204" pitchFamily="34" charset="-120"/>
              <a:ea typeface="Microsoft JhengHei UI Light" panose="020B0304030504040204" pitchFamily="34" charset="-120"/>
            </a:rPr>
            <a:t>Source: ICMR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0.17566</cdr:x>
      <cdr:y>0.65189</cdr:y>
    </cdr:from>
    <cdr:to>
      <cdr:x>0.33582</cdr:x>
      <cdr:y>0.69621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1719F9A-0F52-410D-AE03-CA65B860D3CE}"/>
            </a:ext>
          </a:extLst>
        </cdr:cNvPr>
        <cdr:cNvSpPr txBox="1"/>
      </cdr:nvSpPr>
      <cdr:spPr>
        <a:xfrm xmlns:a="http://schemas.openxmlformats.org/drawingml/2006/main">
          <a:off x="1069975" y="2241550"/>
          <a:ext cx="975592" cy="1524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2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800" b="1">
              <a:solidFill>
                <a:schemeClr val="bg2">
                  <a:lumMod val="50000"/>
                </a:schemeClr>
              </a:solidFill>
              <a:latin typeface="Microsoft JhengHei UI Light" panose="020B0304030504040204" pitchFamily="34" charset="-120"/>
              <a:ea typeface="Microsoft JhengHei UI Light" panose="020B0304030504040204" pitchFamily="34" charset="-120"/>
            </a:rPr>
            <a:t>Source: ICMR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700086</xdr:colOff>
      <xdr:row>3</xdr:row>
      <xdr:rowOff>166686</xdr:rowOff>
    </xdr:from>
    <xdr:to>
      <xdr:col>25</xdr:col>
      <xdr:colOff>371475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6B4F0-1B84-49BD-86BD-5437CC718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128587</xdr:colOff>
      <xdr:row>18</xdr:row>
      <xdr:rowOff>42862</xdr:rowOff>
    </xdr:from>
    <xdr:to>
      <xdr:col>16</xdr:col>
      <xdr:colOff>433387</xdr:colOff>
      <xdr:row>32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07958-2F60-42A3-98AC-4F447587D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585787</xdr:colOff>
      <xdr:row>3</xdr:row>
      <xdr:rowOff>42862</xdr:rowOff>
    </xdr:from>
    <xdr:to>
      <xdr:col>17</xdr:col>
      <xdr:colOff>280987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FFA84-3439-469C-9E54-C7BFF6C13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0163-7A61-4636-A146-5961456D1813}">
  <dimension ref="A1:T10"/>
  <sheetViews>
    <sheetView workbookViewId="0">
      <selection activeCell="K34" sqref="K34"/>
    </sheetView>
  </sheetViews>
  <sheetFormatPr defaultRowHeight="11.25" x14ac:dyDescent="0.25"/>
  <cols>
    <col min="1" max="1" width="18.140625" style="4" bestFit="1" customWidth="1"/>
    <col min="2" max="2" width="10.5703125" style="5" bestFit="1" customWidth="1"/>
    <col min="3" max="3" width="19.140625" style="5" bestFit="1" customWidth="1"/>
    <col min="4" max="4" width="19.140625" style="6" customWidth="1"/>
    <col min="5" max="5" width="9.28515625" style="5" bestFit="1" customWidth="1"/>
    <col min="6" max="6" width="15.140625" style="5" bestFit="1" customWidth="1"/>
    <col min="7" max="7" width="15.140625" style="6" customWidth="1"/>
    <col min="8" max="8" width="10.5703125" style="5" bestFit="1" customWidth="1"/>
    <col min="9" max="9" width="19.140625" style="5" bestFit="1" customWidth="1"/>
    <col min="10" max="10" width="19.140625" style="5" customWidth="1"/>
    <col min="11" max="11" width="13.7109375" style="5" bestFit="1" customWidth="1"/>
    <col min="12" max="13" width="18.28515625" style="5" bestFit="1" customWidth="1"/>
    <col min="14" max="14" width="20.28515625" style="6" bestFit="1" customWidth="1"/>
    <col min="15" max="15" width="12.7109375" style="9" bestFit="1" customWidth="1"/>
    <col min="16" max="18" width="11.85546875" style="9" bestFit="1" customWidth="1"/>
    <col min="19" max="19" width="11.7109375" style="9" bestFit="1" customWidth="1"/>
    <col min="20" max="20" width="10.7109375" style="5" bestFit="1" customWidth="1"/>
    <col min="21" max="16384" width="9.140625" style="5"/>
  </cols>
  <sheetData>
    <row r="1" spans="1:20" s="3" customFormat="1" ht="12" x14ac:dyDescent="0.25">
      <c r="A1" s="14" t="s">
        <v>1</v>
      </c>
      <c r="B1" s="3" t="s">
        <v>2</v>
      </c>
      <c r="C1" s="3" t="s">
        <v>12</v>
      </c>
      <c r="D1" s="10" t="s">
        <v>13</v>
      </c>
      <c r="E1" s="3" t="s">
        <v>3</v>
      </c>
      <c r="F1" s="3" t="s">
        <v>10</v>
      </c>
      <c r="G1" s="10" t="s">
        <v>11</v>
      </c>
      <c r="H1" s="3" t="s">
        <v>4</v>
      </c>
      <c r="I1" s="3" t="s">
        <v>8</v>
      </c>
      <c r="J1" s="3" t="s">
        <v>9</v>
      </c>
      <c r="K1" s="3" t="s">
        <v>5</v>
      </c>
      <c r="L1" s="3" t="s">
        <v>6</v>
      </c>
      <c r="M1" s="3" t="s">
        <v>7</v>
      </c>
      <c r="N1" s="10" t="s">
        <v>14</v>
      </c>
      <c r="O1" s="8" t="s">
        <v>58</v>
      </c>
      <c r="P1" s="8" t="s">
        <v>59</v>
      </c>
      <c r="Q1" s="8" t="s">
        <v>60</v>
      </c>
      <c r="R1" s="8" t="s">
        <v>61</v>
      </c>
      <c r="S1" s="8" t="s">
        <v>62</v>
      </c>
      <c r="T1" s="3" t="s">
        <v>63</v>
      </c>
    </row>
    <row r="2" spans="1:20" x14ac:dyDescent="0.25">
      <c r="A2" s="4">
        <v>43914.450694444444</v>
      </c>
      <c r="B2" s="5">
        <v>519</v>
      </c>
      <c r="E2" s="5">
        <v>473</v>
      </c>
      <c r="H2" s="5">
        <v>37</v>
      </c>
      <c r="K2" s="5">
        <v>9</v>
      </c>
      <c r="N2" s="6">
        <f t="shared" ref="N2:N8" si="0">K2/H2</f>
        <v>0.24324324324324326</v>
      </c>
      <c r="O2" s="9">
        <f>P2P!D2</f>
        <v>3.0222222222222221</v>
      </c>
      <c r="P2" s="9">
        <f>P2P!D4</f>
        <v>2.4883720930232558</v>
      </c>
      <c r="Q2" s="9">
        <f>P2P!D5</f>
        <v>2.3095238095238093</v>
      </c>
      <c r="R2" s="9">
        <f>P2P!D11</f>
        <v>1.6388888888888888</v>
      </c>
      <c r="S2" s="9">
        <f>P2P!D13</f>
        <v>1.5</v>
      </c>
    </row>
    <row r="3" spans="1:20" x14ac:dyDescent="0.25">
      <c r="A3" s="4">
        <v>43914.580555555556</v>
      </c>
      <c r="B3" s="5">
        <v>529</v>
      </c>
      <c r="C3" s="5">
        <f t="shared" ref="C3:C8" si="1">B3-B2</f>
        <v>10</v>
      </c>
      <c r="D3" s="6">
        <f t="shared" ref="D3:D8" si="2">C3/B2</f>
        <v>1.9267822736030827E-2</v>
      </c>
      <c r="E3" s="5">
        <v>483</v>
      </c>
      <c r="F3" s="5">
        <f t="shared" ref="F3:F8" si="3">E3-E2</f>
        <v>10</v>
      </c>
      <c r="G3" s="6">
        <f t="shared" ref="G3:G8" si="4">F3/E2</f>
        <v>2.1141649048625793E-2</v>
      </c>
      <c r="H3" s="5">
        <v>37</v>
      </c>
      <c r="K3" s="5">
        <v>9</v>
      </c>
      <c r="N3" s="6">
        <f t="shared" si="0"/>
        <v>0.24324324324324326</v>
      </c>
    </row>
    <row r="4" spans="1:20" x14ac:dyDescent="0.25">
      <c r="A4" s="4">
        <v>43914.626388888886</v>
      </c>
      <c r="B4" s="5">
        <v>532</v>
      </c>
      <c r="C4" s="5">
        <f t="shared" si="1"/>
        <v>3</v>
      </c>
      <c r="D4" s="6">
        <f t="shared" si="2"/>
        <v>5.6710775047258983E-3</v>
      </c>
      <c r="E4" s="5">
        <v>486</v>
      </c>
      <c r="F4" s="5">
        <f t="shared" si="3"/>
        <v>3</v>
      </c>
      <c r="G4" s="6">
        <f t="shared" si="4"/>
        <v>6.2111801242236021E-3</v>
      </c>
      <c r="H4" s="5">
        <v>37</v>
      </c>
      <c r="K4" s="5">
        <v>9</v>
      </c>
      <c r="N4" s="6">
        <f t="shared" si="0"/>
        <v>0.24324324324324326</v>
      </c>
    </row>
    <row r="5" spans="1:20" x14ac:dyDescent="0.25">
      <c r="A5" s="4">
        <v>43914.711805555555</v>
      </c>
      <c r="B5" s="5">
        <v>544</v>
      </c>
      <c r="C5" s="5">
        <f t="shared" si="1"/>
        <v>12</v>
      </c>
      <c r="D5" s="6">
        <f t="shared" si="2"/>
        <v>2.2556390977443608E-2</v>
      </c>
      <c r="E5" s="5">
        <v>498</v>
      </c>
      <c r="F5" s="5">
        <f t="shared" si="3"/>
        <v>12</v>
      </c>
      <c r="G5" s="6">
        <f t="shared" si="4"/>
        <v>2.4691358024691357E-2</v>
      </c>
      <c r="H5" s="5">
        <v>37</v>
      </c>
      <c r="K5" s="5">
        <v>9</v>
      </c>
      <c r="N5" s="6">
        <f t="shared" si="0"/>
        <v>0.24324324324324326</v>
      </c>
    </row>
    <row r="6" spans="1:20" x14ac:dyDescent="0.25">
      <c r="A6" s="4">
        <v>43914.782638888886</v>
      </c>
      <c r="B6" s="5">
        <v>562</v>
      </c>
      <c r="C6" s="5">
        <f t="shared" si="1"/>
        <v>18</v>
      </c>
      <c r="D6" s="6">
        <f t="shared" si="2"/>
        <v>3.3088235294117647E-2</v>
      </c>
      <c r="E6" s="5">
        <v>512</v>
      </c>
      <c r="F6" s="5">
        <f t="shared" si="3"/>
        <v>14</v>
      </c>
      <c r="G6" s="6">
        <f t="shared" si="4"/>
        <v>2.8112449799196786E-2</v>
      </c>
      <c r="H6" s="5">
        <v>40</v>
      </c>
      <c r="K6" s="5">
        <v>10</v>
      </c>
      <c r="N6" s="6">
        <f t="shared" si="0"/>
        <v>0.25</v>
      </c>
    </row>
    <row r="7" spans="1:20" x14ac:dyDescent="0.25">
      <c r="A7" s="4">
        <v>43914.931944444441</v>
      </c>
      <c r="B7" s="5">
        <v>566</v>
      </c>
      <c r="C7" s="5">
        <f t="shared" si="1"/>
        <v>4</v>
      </c>
      <c r="D7" s="6">
        <f t="shared" si="2"/>
        <v>7.1174377224199285E-3</v>
      </c>
      <c r="E7" s="5">
        <v>516</v>
      </c>
      <c r="F7" s="5">
        <f t="shared" si="3"/>
        <v>4</v>
      </c>
      <c r="G7" s="6">
        <f t="shared" si="4"/>
        <v>7.8125E-3</v>
      </c>
      <c r="H7" s="5">
        <v>40</v>
      </c>
      <c r="K7" s="5">
        <v>10</v>
      </c>
      <c r="N7" s="6">
        <f t="shared" si="0"/>
        <v>0.25</v>
      </c>
    </row>
    <row r="8" spans="1:20" x14ac:dyDescent="0.25">
      <c r="A8" s="4">
        <v>43915.427777777775</v>
      </c>
      <c r="B8" s="5">
        <v>577</v>
      </c>
      <c r="C8" s="5">
        <f t="shared" si="1"/>
        <v>11</v>
      </c>
      <c r="D8" s="6">
        <f t="shared" si="2"/>
        <v>1.9434628975265017E-2</v>
      </c>
      <c r="E8" s="5">
        <v>527</v>
      </c>
      <c r="F8" s="5">
        <f t="shared" si="3"/>
        <v>11</v>
      </c>
      <c r="G8" s="6">
        <f t="shared" si="4"/>
        <v>2.1317829457364341E-2</v>
      </c>
      <c r="H8" s="5">
        <v>40</v>
      </c>
      <c r="K8" s="5">
        <v>10</v>
      </c>
      <c r="N8" s="6">
        <f t="shared" si="0"/>
        <v>0.25</v>
      </c>
    </row>
    <row r="10" spans="1:20" x14ac:dyDescent="0.25">
      <c r="K10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C3FE-F618-4B63-B67B-E90940CF5C24}">
  <dimension ref="A1:Q46"/>
  <sheetViews>
    <sheetView zoomScale="70" workbookViewId="0">
      <selection activeCell="G20" sqref="G20"/>
    </sheetView>
  </sheetViews>
  <sheetFormatPr defaultRowHeight="15" x14ac:dyDescent="0.25"/>
  <cols>
    <col min="1" max="1" width="18.140625" bestFit="1" customWidth="1"/>
    <col min="3" max="3" width="11.140625" bestFit="1" customWidth="1"/>
    <col min="5" max="5" width="16" style="1" bestFit="1" customWidth="1"/>
    <col min="7" max="7" width="23.85546875" bestFit="1" customWidth="1"/>
    <col min="9" max="9" width="14.85546875" bestFit="1" customWidth="1"/>
    <col min="16" max="16" width="12.85546875" bestFit="1" customWidth="1"/>
    <col min="17" max="17" width="11.140625" bestFit="1" customWidth="1"/>
  </cols>
  <sheetData>
    <row r="1" spans="1:17" s="11" customFormat="1" x14ac:dyDescent="0.25">
      <c r="A1" s="11" t="s">
        <v>1</v>
      </c>
      <c r="B1" s="11" t="s">
        <v>15</v>
      </c>
      <c r="C1" s="11" t="s">
        <v>16</v>
      </c>
      <c r="D1" s="11" t="s">
        <v>55</v>
      </c>
      <c r="E1" s="15" t="s">
        <v>57</v>
      </c>
      <c r="F1" s="11" t="s">
        <v>55</v>
      </c>
      <c r="G1" s="60" t="s">
        <v>56</v>
      </c>
      <c r="H1" s="60"/>
    </row>
    <row r="2" spans="1:17" x14ac:dyDescent="0.25">
      <c r="A2" s="2"/>
      <c r="B2" t="s">
        <v>22</v>
      </c>
      <c r="C2">
        <v>16</v>
      </c>
      <c r="D2">
        <f>AVERAGE(C2:C46)</f>
        <v>3.0222222222222221</v>
      </c>
      <c r="E2" s="1">
        <f>1-(1/D2)</f>
        <v>0.66911764705882359</v>
      </c>
      <c r="F2">
        <f>SUM(C2:C46)/Main!B5</f>
        <v>0.25</v>
      </c>
      <c r="G2">
        <f>_xlfn.PERCENTILE.INC(C2:C46, 0.95)</f>
        <v>9.3999999999999915</v>
      </c>
      <c r="H2" s="7">
        <v>0.95</v>
      </c>
    </row>
    <row r="3" spans="1:17" x14ac:dyDescent="0.25">
      <c r="A3" s="2"/>
      <c r="B3" t="s">
        <v>17</v>
      </c>
      <c r="C3">
        <v>13</v>
      </c>
      <c r="F3">
        <f>_xlfn.STDEV.P(C2:C46)</f>
        <v>3.2693110989516421</v>
      </c>
      <c r="G3">
        <f>_xlfn.PERCENTILE.INC(C2:C46, 0.9)</f>
        <v>6.6000000000000014</v>
      </c>
      <c r="H3" s="7">
        <v>0.9</v>
      </c>
    </row>
    <row r="4" spans="1:17" x14ac:dyDescent="0.25">
      <c r="A4" s="2"/>
      <c r="B4" t="s">
        <v>41</v>
      </c>
      <c r="C4">
        <v>10</v>
      </c>
      <c r="D4">
        <f>AVERAGE(C4:C46)</f>
        <v>2.4883720930232558</v>
      </c>
      <c r="E4" s="1">
        <f>1-(1/D4)</f>
        <v>0.59813084112149539</v>
      </c>
      <c r="G4">
        <f>_xlfn.PERCENTILE.INC(C2:C46, 0.8)</f>
        <v>4.4000000000000057</v>
      </c>
      <c r="H4" s="7">
        <v>0.8</v>
      </c>
    </row>
    <row r="5" spans="1:17" x14ac:dyDescent="0.25">
      <c r="A5" s="2"/>
      <c r="B5" t="s">
        <v>24</v>
      </c>
      <c r="C5">
        <v>7</v>
      </c>
      <c r="D5">
        <f>AVERAGE(C5:C46)</f>
        <v>2.3095238095238093</v>
      </c>
      <c r="E5" s="1">
        <f>1-(1/D5)</f>
        <v>0.5670103092783505</v>
      </c>
      <c r="G5">
        <f>_xlfn.PERCENTILE.INC(C2:C46, 0.75)</f>
        <v>3</v>
      </c>
      <c r="H5" s="7">
        <v>0.75</v>
      </c>
    </row>
    <row r="6" spans="1:17" x14ac:dyDescent="0.25">
      <c r="A6" s="2"/>
      <c r="B6" t="s">
        <v>28</v>
      </c>
      <c r="C6">
        <v>7</v>
      </c>
      <c r="G6">
        <f>_xlfn.PERCENTILE.INC(C2:C46, 0.05)</f>
        <v>1</v>
      </c>
      <c r="H6" s="7">
        <v>0.05</v>
      </c>
    </row>
    <row r="7" spans="1:17" x14ac:dyDescent="0.25">
      <c r="A7" s="2"/>
      <c r="B7" t="s">
        <v>34</v>
      </c>
      <c r="C7">
        <v>6</v>
      </c>
    </row>
    <row r="8" spans="1:17" x14ac:dyDescent="0.25">
      <c r="A8" s="2"/>
      <c r="B8" t="s">
        <v>35</v>
      </c>
      <c r="C8">
        <v>6</v>
      </c>
    </row>
    <row r="9" spans="1:17" x14ac:dyDescent="0.25">
      <c r="A9" s="2"/>
      <c r="B9" t="s">
        <v>18</v>
      </c>
      <c r="C9">
        <v>6</v>
      </c>
    </row>
    <row r="10" spans="1:17" x14ac:dyDescent="0.25">
      <c r="A10" s="2"/>
      <c r="B10" t="s">
        <v>48</v>
      </c>
      <c r="C10">
        <v>6</v>
      </c>
    </row>
    <row r="11" spans="1:17" x14ac:dyDescent="0.25">
      <c r="A11" s="2"/>
      <c r="B11" t="s">
        <v>47</v>
      </c>
      <c r="C11">
        <v>4</v>
      </c>
      <c r="D11">
        <f>AVERAGE(C11:C46)</f>
        <v>1.6388888888888888</v>
      </c>
      <c r="E11" s="1">
        <f>1-(1/D11)</f>
        <v>0.38983050847457623</v>
      </c>
      <c r="P11" s="11"/>
      <c r="Q11" s="11"/>
    </row>
    <row r="12" spans="1:17" x14ac:dyDescent="0.25">
      <c r="A12" s="2"/>
      <c r="B12" t="s">
        <v>33</v>
      </c>
      <c r="C12">
        <v>4</v>
      </c>
    </row>
    <row r="13" spans="1:17" x14ac:dyDescent="0.25">
      <c r="A13" s="2"/>
      <c r="B13" t="s">
        <v>50</v>
      </c>
      <c r="C13">
        <v>3</v>
      </c>
      <c r="D13">
        <f>AVERAGE(C13:C46)</f>
        <v>1.5</v>
      </c>
      <c r="E13" s="1">
        <f>1-(1/D13)</f>
        <v>0.33333333333333337</v>
      </c>
    </row>
    <row r="14" spans="1:17" x14ac:dyDescent="0.25">
      <c r="A14" s="2"/>
      <c r="B14" t="s">
        <v>29</v>
      </c>
      <c r="C14">
        <v>3</v>
      </c>
    </row>
    <row r="15" spans="1:17" x14ac:dyDescent="0.25">
      <c r="A15" s="2"/>
      <c r="B15" t="s">
        <v>40</v>
      </c>
      <c r="C15">
        <v>3</v>
      </c>
    </row>
    <row r="16" spans="1:17" x14ac:dyDescent="0.25">
      <c r="A16" s="2"/>
      <c r="B16" t="s">
        <v>23</v>
      </c>
      <c r="C16">
        <v>3</v>
      </c>
    </row>
    <row r="17" spans="1:3" x14ac:dyDescent="0.25">
      <c r="A17" s="2">
        <v>43914.470138888886</v>
      </c>
      <c r="B17" t="s">
        <v>74</v>
      </c>
      <c r="C17">
        <v>2</v>
      </c>
    </row>
    <row r="18" spans="1:3" x14ac:dyDescent="0.25">
      <c r="A18" s="2"/>
      <c r="B18" t="s">
        <v>49</v>
      </c>
      <c r="C18">
        <v>2</v>
      </c>
    </row>
    <row r="19" spans="1:3" x14ac:dyDescent="0.25">
      <c r="A19" s="2"/>
      <c r="B19" t="s">
        <v>30</v>
      </c>
      <c r="C19">
        <v>2</v>
      </c>
    </row>
    <row r="20" spans="1:3" x14ac:dyDescent="0.25">
      <c r="A20" s="2"/>
      <c r="B20" t="s">
        <v>22</v>
      </c>
      <c r="C20">
        <v>2</v>
      </c>
    </row>
    <row r="21" spans="1:3" x14ac:dyDescent="0.25">
      <c r="A21" s="2"/>
      <c r="B21" t="s">
        <v>44</v>
      </c>
      <c r="C21">
        <v>2</v>
      </c>
    </row>
    <row r="22" spans="1:3" x14ac:dyDescent="0.25">
      <c r="A22" s="2"/>
      <c r="B22" t="s">
        <v>75</v>
      </c>
      <c r="C22">
        <v>2</v>
      </c>
    </row>
    <row r="23" spans="1:3" x14ac:dyDescent="0.25">
      <c r="A23" s="2"/>
      <c r="B23" t="s">
        <v>54</v>
      </c>
      <c r="C23">
        <v>2</v>
      </c>
    </row>
    <row r="24" spans="1:3" x14ac:dyDescent="0.25">
      <c r="A24" s="2"/>
      <c r="B24" t="s">
        <v>32</v>
      </c>
      <c r="C24">
        <v>2</v>
      </c>
    </row>
    <row r="25" spans="1:3" x14ac:dyDescent="0.25">
      <c r="A25" s="2"/>
      <c r="B25" t="s">
        <v>36</v>
      </c>
      <c r="C25">
        <v>2</v>
      </c>
    </row>
    <row r="26" spans="1:3" x14ac:dyDescent="0.25">
      <c r="A26" s="2"/>
      <c r="B26" t="s">
        <v>37</v>
      </c>
      <c r="C26">
        <v>1</v>
      </c>
    </row>
    <row r="27" spans="1:3" x14ac:dyDescent="0.25">
      <c r="A27" s="2"/>
      <c r="B27" t="s">
        <v>26</v>
      </c>
      <c r="C27">
        <v>1</v>
      </c>
    </row>
    <row r="28" spans="1:3" x14ac:dyDescent="0.25">
      <c r="A28" s="2"/>
      <c r="B28" t="s">
        <v>51</v>
      </c>
      <c r="C28">
        <v>1</v>
      </c>
    </row>
    <row r="29" spans="1:3" x14ac:dyDescent="0.25">
      <c r="A29" s="2"/>
      <c r="B29" t="s">
        <v>43</v>
      </c>
      <c r="C29">
        <v>1</v>
      </c>
    </row>
    <row r="30" spans="1:3" x14ac:dyDescent="0.25">
      <c r="A30" s="2"/>
      <c r="B30" t="s">
        <v>76</v>
      </c>
      <c r="C30">
        <v>1</v>
      </c>
    </row>
    <row r="31" spans="1:3" x14ac:dyDescent="0.25">
      <c r="A31" s="2"/>
      <c r="B31" t="s">
        <v>46</v>
      </c>
      <c r="C31">
        <v>1</v>
      </c>
    </row>
    <row r="32" spans="1:3" x14ac:dyDescent="0.25">
      <c r="A32" s="2"/>
      <c r="B32" t="s">
        <v>45</v>
      </c>
      <c r="C32">
        <v>1</v>
      </c>
    </row>
    <row r="33" spans="1:3" x14ac:dyDescent="0.25">
      <c r="A33" s="2"/>
      <c r="B33" t="s">
        <v>77</v>
      </c>
      <c r="C33">
        <v>1</v>
      </c>
    </row>
    <row r="34" spans="1:3" x14ac:dyDescent="0.25">
      <c r="A34" s="2"/>
      <c r="B34" t="s">
        <v>27</v>
      </c>
      <c r="C34">
        <v>1</v>
      </c>
    </row>
    <row r="35" spans="1:3" x14ac:dyDescent="0.25">
      <c r="A35" s="2"/>
      <c r="B35" t="s">
        <v>25</v>
      </c>
      <c r="C35">
        <v>1</v>
      </c>
    </row>
    <row r="36" spans="1:3" x14ac:dyDescent="0.25">
      <c r="A36" s="2"/>
      <c r="B36" t="s">
        <v>21</v>
      </c>
      <c r="C36">
        <v>1</v>
      </c>
    </row>
    <row r="37" spans="1:3" x14ac:dyDescent="0.25">
      <c r="A37" s="2"/>
      <c r="B37" t="s">
        <v>19</v>
      </c>
      <c r="C37">
        <v>1</v>
      </c>
    </row>
    <row r="38" spans="1:3" x14ac:dyDescent="0.25">
      <c r="A38" s="2"/>
      <c r="B38" t="s">
        <v>38</v>
      </c>
      <c r="C38">
        <v>1</v>
      </c>
    </row>
    <row r="39" spans="1:3" x14ac:dyDescent="0.25">
      <c r="A39" s="2"/>
      <c r="B39" t="s">
        <v>42</v>
      </c>
      <c r="C39">
        <v>1</v>
      </c>
    </row>
    <row r="40" spans="1:3" x14ac:dyDescent="0.25">
      <c r="A40" s="2"/>
      <c r="B40" t="s">
        <v>53</v>
      </c>
      <c r="C40">
        <v>1</v>
      </c>
    </row>
    <row r="41" spans="1:3" x14ac:dyDescent="0.25">
      <c r="A41" s="2"/>
      <c r="B41" t="s">
        <v>20</v>
      </c>
      <c r="C41">
        <v>1</v>
      </c>
    </row>
    <row r="42" spans="1:3" x14ac:dyDescent="0.25">
      <c r="A42" s="2"/>
      <c r="B42" t="s">
        <v>78</v>
      </c>
      <c r="C42">
        <v>1</v>
      </c>
    </row>
    <row r="43" spans="1:3" x14ac:dyDescent="0.25">
      <c r="A43" s="2"/>
      <c r="B43" t="s">
        <v>79</v>
      </c>
      <c r="C43">
        <v>1</v>
      </c>
    </row>
    <row r="44" spans="1:3" x14ac:dyDescent="0.25">
      <c r="A44" s="2"/>
      <c r="B44" t="s">
        <v>52</v>
      </c>
      <c r="C44">
        <v>1</v>
      </c>
    </row>
    <row r="45" spans="1:3" x14ac:dyDescent="0.25">
      <c r="A45" s="2"/>
      <c r="B45" t="s">
        <v>31</v>
      </c>
      <c r="C45">
        <v>1</v>
      </c>
    </row>
    <row r="46" spans="1:3" x14ac:dyDescent="0.25">
      <c r="A46" s="2"/>
      <c r="B46" t="s">
        <v>39</v>
      </c>
      <c r="C46">
        <v>1</v>
      </c>
    </row>
  </sheetData>
  <sortState xmlns:xlrd2="http://schemas.microsoft.com/office/spreadsheetml/2017/richdata2" ref="A2:G46">
    <sortCondition descending="1" ref="C1"/>
  </sortState>
  <mergeCells count="1">
    <mergeCell ref="G1:H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8EC1-40D9-4A45-B769-99D3F3861D62}">
  <dimension ref="A1:X37"/>
  <sheetViews>
    <sheetView topLeftCell="I1" workbookViewId="0">
      <selection activeCell="W25" sqref="W25:X37"/>
    </sheetView>
  </sheetViews>
  <sheetFormatPr defaultRowHeight="11.25" x14ac:dyDescent="0.25"/>
  <cols>
    <col min="1" max="1" width="16.85546875" style="4" bestFit="1" customWidth="1"/>
    <col min="2" max="2" width="18.42578125" style="13" bestFit="1" customWidth="1"/>
    <col min="3" max="3" width="16.140625" style="13" bestFit="1" customWidth="1"/>
    <col min="4" max="4" width="9.28515625" style="13" bestFit="1" customWidth="1"/>
    <col min="5" max="5" width="10.85546875" style="13" bestFit="1" customWidth="1"/>
    <col min="6" max="6" width="12.42578125" style="6" bestFit="1" customWidth="1"/>
    <col min="7" max="7" width="15.85546875" style="6" bestFit="1" customWidth="1"/>
    <col min="8" max="8" width="23" style="9" bestFit="1" customWidth="1"/>
    <col min="9" max="9" width="15.140625" style="6" bestFit="1" customWidth="1"/>
    <col min="10" max="10" width="16.42578125" style="6" bestFit="1" customWidth="1"/>
    <col min="11" max="11" width="16.42578125" style="17" customWidth="1"/>
    <col min="12" max="12" width="23.28515625" style="13" bestFit="1" customWidth="1"/>
    <col min="13" max="13" width="20.28515625" style="5" bestFit="1" customWidth="1"/>
    <col min="14" max="14" width="11.42578125" style="5" bestFit="1" customWidth="1"/>
    <col min="15" max="15" width="18.42578125" style="6" bestFit="1" customWidth="1"/>
    <col min="16" max="16" width="9.140625" style="5"/>
    <col min="17" max="17" width="11.42578125" style="5" bestFit="1" customWidth="1"/>
    <col min="18" max="23" width="9.140625" style="5"/>
    <col min="24" max="24" width="14" style="5" bestFit="1" customWidth="1"/>
    <col min="25" max="16384" width="9.140625" style="5"/>
  </cols>
  <sheetData>
    <row r="1" spans="1:17" s="3" customFormat="1" ht="12" x14ac:dyDescent="0.25">
      <c r="A1" s="14" t="s">
        <v>1</v>
      </c>
      <c r="B1" s="12" t="s">
        <v>65</v>
      </c>
      <c r="C1" s="12" t="s">
        <v>66</v>
      </c>
      <c r="D1" s="12" t="s">
        <v>64</v>
      </c>
      <c r="E1" s="12" t="s">
        <v>81</v>
      </c>
      <c r="F1" s="10" t="s">
        <v>71</v>
      </c>
      <c r="G1" s="10" t="s">
        <v>80</v>
      </c>
      <c r="H1" s="8" t="s">
        <v>67</v>
      </c>
      <c r="I1" s="10" t="s">
        <v>68</v>
      </c>
      <c r="J1" s="10" t="s">
        <v>82</v>
      </c>
      <c r="K1" s="16" t="s">
        <v>83</v>
      </c>
      <c r="L1" s="12" t="s">
        <v>69</v>
      </c>
      <c r="M1" s="3" t="s">
        <v>70</v>
      </c>
      <c r="N1" s="3" t="s">
        <v>72</v>
      </c>
      <c r="O1" s="10" t="s">
        <v>73</v>
      </c>
      <c r="Q1" s="16" t="s">
        <v>164</v>
      </c>
    </row>
    <row r="2" spans="1:17" x14ac:dyDescent="0.25">
      <c r="A2" s="4">
        <v>43903</v>
      </c>
      <c r="B2" s="13">
        <v>5900</v>
      </c>
      <c r="C2" s="13">
        <v>6500</v>
      </c>
      <c r="D2" s="13">
        <v>78</v>
      </c>
      <c r="F2" s="6">
        <f t="shared" ref="F2:F17" si="0">D2/B2</f>
        <v>1.3220338983050847E-2</v>
      </c>
      <c r="G2" s="6">
        <f t="shared" ref="G2:G17" si="1">D2/C2</f>
        <v>1.2E-2</v>
      </c>
      <c r="H2" s="9">
        <f t="shared" ref="H2:H17" si="2">C2/B2</f>
        <v>1.1016949152542372</v>
      </c>
      <c r="N2" s="9">
        <v>1300000000</v>
      </c>
      <c r="O2" s="6">
        <f>B2/N2</f>
        <v>4.5384615384615388E-6</v>
      </c>
    </row>
    <row r="3" spans="1:17" x14ac:dyDescent="0.25">
      <c r="A3" s="4">
        <v>43908.75</v>
      </c>
      <c r="B3" s="13">
        <v>12235</v>
      </c>
      <c r="C3" s="13">
        <v>13125</v>
      </c>
      <c r="D3" s="13">
        <v>150</v>
      </c>
      <c r="E3" s="13">
        <f>D3-D2</f>
        <v>72</v>
      </c>
      <c r="F3" s="6">
        <f t="shared" si="0"/>
        <v>1.2259910093992644E-2</v>
      </c>
      <c r="G3" s="6">
        <f t="shared" si="1"/>
        <v>1.1428571428571429E-2</v>
      </c>
      <c r="H3" s="9">
        <f t="shared" si="2"/>
        <v>1.0727421332243563</v>
      </c>
      <c r="I3" s="6">
        <f>(B3/B2)-1</f>
        <v>1.0737288135593221</v>
      </c>
      <c r="J3" s="6">
        <f>(D3/D2)-1</f>
        <v>0.92307692307692313</v>
      </c>
      <c r="K3" s="17">
        <f>J3/I3</f>
        <v>0.85969279339445082</v>
      </c>
      <c r="L3" s="13">
        <f>(B3-B2)/5</f>
        <v>1267</v>
      </c>
      <c r="M3" s="5">
        <f>C3-C2</f>
        <v>6625</v>
      </c>
      <c r="N3" s="9">
        <v>1300000000</v>
      </c>
      <c r="O3" s="6">
        <f t="shared" ref="O3:O14" si="3">B3/N3</f>
        <v>9.4115384615384615E-6</v>
      </c>
    </row>
    <row r="4" spans="1:17" x14ac:dyDescent="0.25">
      <c r="A4" s="4">
        <v>43909.416666666664</v>
      </c>
      <c r="B4" s="13">
        <v>12426</v>
      </c>
      <c r="C4" s="13">
        <v>13316</v>
      </c>
      <c r="D4" s="13">
        <v>168</v>
      </c>
      <c r="E4" s="13">
        <f t="shared" ref="E4:E30" si="4">D4-D3</f>
        <v>18</v>
      </c>
      <c r="F4" s="6">
        <f t="shared" si="0"/>
        <v>1.3520038628681796E-2</v>
      </c>
      <c r="G4" s="6">
        <f t="shared" si="1"/>
        <v>1.2616401321718233E-2</v>
      </c>
      <c r="H4" s="9">
        <f t="shared" si="2"/>
        <v>1.07162401416385</v>
      </c>
      <c r="I4" s="6">
        <f t="shared" ref="I4:I14" si="5">(B4/B3)-1</f>
        <v>1.5610952186350557E-2</v>
      </c>
      <c r="J4" s="6">
        <f t="shared" ref="J4:J14" si="6">(D4/D3)-1</f>
        <v>0.12000000000000011</v>
      </c>
      <c r="K4" s="17">
        <f t="shared" ref="K4:K16" si="7">J4/I4</f>
        <v>7.6869109947644425</v>
      </c>
      <c r="L4" s="13">
        <f t="shared" ref="L4:L14" si="8">B4-B3</f>
        <v>191</v>
      </c>
      <c r="M4" s="5">
        <f t="shared" ref="M4:M17" si="9">C4-C3</f>
        <v>191</v>
      </c>
      <c r="N4" s="9">
        <v>1300000000</v>
      </c>
      <c r="O4" s="6">
        <f t="shared" si="3"/>
        <v>9.5584615384615382E-6</v>
      </c>
    </row>
    <row r="5" spans="1:17" x14ac:dyDescent="0.25">
      <c r="A5" s="4">
        <v>43909.75</v>
      </c>
      <c r="B5" s="13">
        <v>13285</v>
      </c>
      <c r="C5" s="13">
        <v>14175</v>
      </c>
      <c r="D5" s="13">
        <v>182</v>
      </c>
      <c r="E5" s="13">
        <f t="shared" si="4"/>
        <v>14</v>
      </c>
      <c r="F5" s="6">
        <f t="shared" si="0"/>
        <v>1.3699661272111403E-2</v>
      </c>
      <c r="G5" s="6">
        <f t="shared" si="1"/>
        <v>1.2839506172839505E-2</v>
      </c>
      <c r="H5" s="9">
        <f t="shared" si="2"/>
        <v>1.0669928490779075</v>
      </c>
      <c r="I5" s="6">
        <f t="shared" si="5"/>
        <v>6.9129245131176464E-2</v>
      </c>
      <c r="J5" s="6">
        <f t="shared" si="6"/>
        <v>8.3333333333333259E-2</v>
      </c>
      <c r="K5" s="17">
        <f t="shared" si="7"/>
        <v>1.2054714784633302</v>
      </c>
      <c r="L5" s="13">
        <f t="shared" si="8"/>
        <v>859</v>
      </c>
      <c r="M5" s="5">
        <f t="shared" si="9"/>
        <v>859</v>
      </c>
      <c r="N5" s="9">
        <v>1300000000</v>
      </c>
      <c r="O5" s="6">
        <f t="shared" si="3"/>
        <v>1.021923076923077E-5</v>
      </c>
      <c r="Q5" s="5">
        <f>(E4+E5)/(L4+L5)</f>
        <v>3.0476190476190476E-2</v>
      </c>
    </row>
    <row r="6" spans="1:17" x14ac:dyDescent="0.25">
      <c r="A6" s="4">
        <v>43910.416666666664</v>
      </c>
      <c r="B6" s="13">
        <v>13486</v>
      </c>
      <c r="C6" s="13">
        <v>14376</v>
      </c>
      <c r="D6" s="13">
        <v>206</v>
      </c>
      <c r="E6" s="13">
        <f t="shared" si="4"/>
        <v>24</v>
      </c>
      <c r="F6" s="6">
        <f t="shared" si="0"/>
        <v>1.527510010381136E-2</v>
      </c>
      <c r="G6" s="6">
        <f t="shared" si="1"/>
        <v>1.4329437952142459E-2</v>
      </c>
      <c r="H6" s="9">
        <f t="shared" si="2"/>
        <v>1.0659943645261754</v>
      </c>
      <c r="I6" s="6">
        <f t="shared" si="5"/>
        <v>1.5129845690628585E-2</v>
      </c>
      <c r="J6" s="6">
        <f t="shared" si="6"/>
        <v>0.13186813186813184</v>
      </c>
      <c r="K6" s="17">
        <f t="shared" si="7"/>
        <v>8.7157618500901748</v>
      </c>
      <c r="L6" s="13">
        <f t="shared" si="8"/>
        <v>201</v>
      </c>
      <c r="M6" s="5">
        <f t="shared" si="9"/>
        <v>201</v>
      </c>
      <c r="N6" s="9">
        <v>1300000000</v>
      </c>
      <c r="O6" s="6">
        <f t="shared" si="3"/>
        <v>1.0373846153846153E-5</v>
      </c>
    </row>
    <row r="7" spans="1:17" x14ac:dyDescent="0.25">
      <c r="A7" s="4">
        <v>43910.75</v>
      </c>
      <c r="B7" s="13">
        <v>14514</v>
      </c>
      <c r="C7" s="13">
        <v>15404</v>
      </c>
      <c r="D7" s="13">
        <v>236</v>
      </c>
      <c r="E7" s="13">
        <f t="shared" si="4"/>
        <v>30</v>
      </c>
      <c r="F7" s="6">
        <f t="shared" si="0"/>
        <v>1.6260162601626018E-2</v>
      </c>
      <c r="G7" s="6">
        <f t="shared" si="1"/>
        <v>1.5320695923136847E-2</v>
      </c>
      <c r="H7" s="9">
        <f t="shared" si="2"/>
        <v>1.0613201047264711</v>
      </c>
      <c r="I7" s="6">
        <f t="shared" si="5"/>
        <v>7.6227198576301447E-2</v>
      </c>
      <c r="J7" s="6">
        <f t="shared" si="6"/>
        <v>0.14563106796116498</v>
      </c>
      <c r="K7" s="17">
        <f t="shared" si="7"/>
        <v>1.910486947980806</v>
      </c>
      <c r="L7" s="13">
        <f t="shared" si="8"/>
        <v>1028</v>
      </c>
      <c r="M7" s="5">
        <f t="shared" si="9"/>
        <v>1028</v>
      </c>
      <c r="N7" s="9">
        <v>1300000000</v>
      </c>
      <c r="O7" s="6">
        <f t="shared" si="3"/>
        <v>1.1164615384615385E-5</v>
      </c>
      <c r="Q7" s="5">
        <f>(E6+E7)/(L6+L7)</f>
        <v>4.3938161106590726E-2</v>
      </c>
    </row>
    <row r="8" spans="1:17" x14ac:dyDescent="0.25">
      <c r="A8" s="4">
        <v>43911.416666666664</v>
      </c>
      <c r="B8" s="13">
        <v>14811</v>
      </c>
      <c r="C8" s="13">
        <v>15701</v>
      </c>
      <c r="D8" s="13">
        <v>271</v>
      </c>
      <c r="E8" s="13">
        <f t="shared" si="4"/>
        <v>35</v>
      </c>
      <c r="F8" s="6">
        <f t="shared" si="0"/>
        <v>1.8297211531969483E-2</v>
      </c>
      <c r="G8" s="6">
        <f t="shared" si="1"/>
        <v>1.7260047130756004E-2</v>
      </c>
      <c r="H8" s="9">
        <f t="shared" si="2"/>
        <v>1.0600904732968739</v>
      </c>
      <c r="I8" s="6">
        <f t="shared" si="5"/>
        <v>2.0463001240181855E-2</v>
      </c>
      <c r="J8" s="6">
        <f t="shared" si="6"/>
        <v>0.14830508474576276</v>
      </c>
      <c r="K8" s="17">
        <f t="shared" si="7"/>
        <v>7.2474747474747634</v>
      </c>
      <c r="L8" s="13">
        <f t="shared" si="8"/>
        <v>297</v>
      </c>
      <c r="M8" s="5">
        <f t="shared" si="9"/>
        <v>297</v>
      </c>
      <c r="N8" s="9">
        <v>1300000000</v>
      </c>
      <c r="O8" s="6">
        <f t="shared" si="3"/>
        <v>1.1393076923076923E-5</v>
      </c>
    </row>
    <row r="9" spans="1:17" x14ac:dyDescent="0.25">
      <c r="A9" s="4">
        <v>43911.75</v>
      </c>
      <c r="B9" s="13">
        <v>16021</v>
      </c>
      <c r="C9" s="13">
        <v>16911</v>
      </c>
      <c r="D9" s="13">
        <v>315</v>
      </c>
      <c r="E9" s="13">
        <f t="shared" si="4"/>
        <v>44</v>
      </c>
      <c r="F9" s="6">
        <f t="shared" si="0"/>
        <v>1.9661694026590102E-2</v>
      </c>
      <c r="G9" s="6">
        <f t="shared" si="1"/>
        <v>1.8626929217668974E-2</v>
      </c>
      <c r="H9" s="9">
        <f t="shared" si="2"/>
        <v>1.0555520878846514</v>
      </c>
      <c r="I9" s="6">
        <f t="shared" si="5"/>
        <v>8.169603672945791E-2</v>
      </c>
      <c r="J9" s="6">
        <f t="shared" si="6"/>
        <v>0.16236162361623618</v>
      </c>
      <c r="K9" s="17">
        <f t="shared" si="7"/>
        <v>1.9873867829587371</v>
      </c>
      <c r="L9" s="13">
        <f t="shared" si="8"/>
        <v>1210</v>
      </c>
      <c r="M9" s="5">
        <f t="shared" si="9"/>
        <v>1210</v>
      </c>
      <c r="N9" s="9">
        <v>1300000000</v>
      </c>
      <c r="O9" s="6">
        <f t="shared" si="3"/>
        <v>1.2323846153846153E-5</v>
      </c>
      <c r="Q9" s="5">
        <f>(E8+E9)/(L8+L9)</f>
        <v>5.2422030524220307E-2</v>
      </c>
    </row>
    <row r="10" spans="1:17" x14ac:dyDescent="0.25">
      <c r="A10" s="4">
        <v>43912.416666666664</v>
      </c>
      <c r="B10" s="13">
        <v>16109</v>
      </c>
      <c r="C10" s="13">
        <v>16999</v>
      </c>
      <c r="D10" s="13">
        <v>341</v>
      </c>
      <c r="E10" s="13">
        <f t="shared" si="4"/>
        <v>26</v>
      </c>
      <c r="F10" s="6">
        <f t="shared" si="0"/>
        <v>2.1168291017443663E-2</v>
      </c>
      <c r="G10" s="6">
        <f t="shared" si="1"/>
        <v>2.006000352961939E-2</v>
      </c>
      <c r="H10" s="9">
        <f t="shared" si="2"/>
        <v>1.0552486187845305</v>
      </c>
      <c r="I10" s="6">
        <f t="shared" si="5"/>
        <v>5.4927907121902209E-3</v>
      </c>
      <c r="J10" s="6">
        <f t="shared" si="6"/>
        <v>8.2539682539682468E-2</v>
      </c>
      <c r="K10" s="17">
        <f t="shared" si="7"/>
        <v>15.026911976912045</v>
      </c>
      <c r="L10" s="13">
        <f t="shared" si="8"/>
        <v>88</v>
      </c>
      <c r="M10" s="5">
        <f t="shared" si="9"/>
        <v>88</v>
      </c>
      <c r="N10" s="9">
        <v>1300000000</v>
      </c>
      <c r="O10" s="6">
        <f t="shared" si="3"/>
        <v>1.2391538461538462E-5</v>
      </c>
    </row>
    <row r="11" spans="1:17" x14ac:dyDescent="0.25">
      <c r="A11" s="4">
        <v>43912.75</v>
      </c>
      <c r="B11" s="13">
        <v>17237</v>
      </c>
      <c r="C11" s="13">
        <v>18127</v>
      </c>
      <c r="D11" s="13">
        <v>396</v>
      </c>
      <c r="E11" s="13">
        <f t="shared" si="4"/>
        <v>55</v>
      </c>
      <c r="F11" s="6">
        <f t="shared" si="0"/>
        <v>2.2973835354179961E-2</v>
      </c>
      <c r="G11" s="6">
        <f t="shared" si="1"/>
        <v>2.184586528383075E-2</v>
      </c>
      <c r="H11" s="9">
        <f t="shared" si="2"/>
        <v>1.051633114811162</v>
      </c>
      <c r="I11" s="6">
        <f t="shared" si="5"/>
        <v>7.0022968526910478E-2</v>
      </c>
      <c r="J11" s="6">
        <f t="shared" si="6"/>
        <v>0.16129032258064524</v>
      </c>
      <c r="K11" s="17">
        <f t="shared" si="7"/>
        <v>2.3033916723861809</v>
      </c>
      <c r="L11" s="13">
        <f t="shared" si="8"/>
        <v>1128</v>
      </c>
      <c r="M11" s="5">
        <f t="shared" si="9"/>
        <v>1128</v>
      </c>
      <c r="N11" s="9">
        <v>1300000000</v>
      </c>
      <c r="O11" s="6">
        <f t="shared" si="3"/>
        <v>1.3259230769230769E-5</v>
      </c>
      <c r="Q11" s="5">
        <f>(E10+E11)/(L10+L11)</f>
        <v>6.6611842105263164E-2</v>
      </c>
    </row>
    <row r="12" spans="1:17" x14ac:dyDescent="0.25">
      <c r="A12" s="4">
        <v>43913.416666666664</v>
      </c>
      <c r="B12" s="13">
        <v>17493</v>
      </c>
      <c r="C12" s="13">
        <v>18383</v>
      </c>
      <c r="D12" s="13">
        <v>415</v>
      </c>
      <c r="E12" s="13">
        <f t="shared" si="4"/>
        <v>19</v>
      </c>
      <c r="F12" s="6">
        <f t="shared" si="0"/>
        <v>2.3723775224375465E-2</v>
      </c>
      <c r="G12" s="6">
        <f t="shared" si="1"/>
        <v>2.2575205352771584E-2</v>
      </c>
      <c r="H12" s="9">
        <f t="shared" si="2"/>
        <v>1.0508774938546848</v>
      </c>
      <c r="I12" s="6">
        <f t="shared" si="5"/>
        <v>1.4851772350176873E-2</v>
      </c>
      <c r="J12" s="6">
        <f t="shared" si="6"/>
        <v>4.7979797979798011E-2</v>
      </c>
      <c r="K12" s="17">
        <f t="shared" si="7"/>
        <v>3.2305772569444624</v>
      </c>
      <c r="L12" s="13">
        <f t="shared" si="8"/>
        <v>256</v>
      </c>
      <c r="M12" s="5">
        <f t="shared" si="9"/>
        <v>256</v>
      </c>
      <c r="N12" s="9">
        <v>1300000000</v>
      </c>
      <c r="O12" s="6">
        <f t="shared" si="3"/>
        <v>1.3456153846153845E-5</v>
      </c>
    </row>
    <row r="13" spans="1:17" x14ac:dyDescent="0.25">
      <c r="A13" s="4">
        <v>43913.833333333336</v>
      </c>
      <c r="B13" s="13">
        <v>19817</v>
      </c>
      <c r="C13" s="13">
        <v>20707</v>
      </c>
      <c r="D13" s="13">
        <v>471</v>
      </c>
      <c r="E13" s="13">
        <f t="shared" si="4"/>
        <v>56</v>
      </c>
      <c r="F13" s="6">
        <f t="shared" si="0"/>
        <v>2.3767472372205681E-2</v>
      </c>
      <c r="G13" s="6">
        <f t="shared" si="1"/>
        <v>2.2745931327570388E-2</v>
      </c>
      <c r="H13" s="9">
        <f t="shared" si="2"/>
        <v>1.0449109350557602</v>
      </c>
      <c r="I13" s="6">
        <f t="shared" si="5"/>
        <v>0.1328531412565026</v>
      </c>
      <c r="J13" s="6">
        <f t="shared" si="6"/>
        <v>0.13493975903614452</v>
      </c>
      <c r="K13" s="17">
        <f t="shared" si="7"/>
        <v>1.0157061982871241</v>
      </c>
      <c r="L13" s="13">
        <f t="shared" si="8"/>
        <v>2324</v>
      </c>
      <c r="M13" s="5">
        <f t="shared" si="9"/>
        <v>2324</v>
      </c>
      <c r="N13" s="9">
        <v>1300000000</v>
      </c>
      <c r="O13" s="6">
        <f t="shared" si="3"/>
        <v>1.5243846153846154E-5</v>
      </c>
      <c r="Q13" s="5">
        <f>(E12+E13)/(L12+L13)</f>
        <v>2.9069767441860465E-2</v>
      </c>
    </row>
    <row r="14" spans="1:17" x14ac:dyDescent="0.25">
      <c r="A14" s="4">
        <v>43914.416666666664</v>
      </c>
      <c r="B14" s="13">
        <v>19974</v>
      </c>
      <c r="C14" s="13">
        <v>20864</v>
      </c>
      <c r="D14" s="13">
        <v>482</v>
      </c>
      <c r="E14" s="13">
        <f t="shared" si="4"/>
        <v>11</v>
      </c>
      <c r="F14" s="6">
        <f t="shared" si="0"/>
        <v>2.4131370782016621E-2</v>
      </c>
      <c r="G14" s="6">
        <f t="shared" si="1"/>
        <v>2.3101993865030673E-2</v>
      </c>
      <c r="H14" s="9">
        <f t="shared" si="2"/>
        <v>1.0445579253028938</v>
      </c>
      <c r="I14" s="6">
        <f t="shared" si="5"/>
        <v>7.9224907907351483E-3</v>
      </c>
      <c r="J14" s="6">
        <f t="shared" si="6"/>
        <v>2.3354564755838636E-2</v>
      </c>
      <c r="K14" s="17">
        <f t="shared" si="7"/>
        <v>2.9478815908691649</v>
      </c>
      <c r="L14" s="13">
        <f t="shared" si="8"/>
        <v>157</v>
      </c>
      <c r="M14" s="5">
        <f t="shared" si="9"/>
        <v>157</v>
      </c>
      <c r="N14" s="9">
        <v>1300000000</v>
      </c>
      <c r="O14" s="6">
        <f t="shared" si="3"/>
        <v>1.5364615384615384E-5</v>
      </c>
    </row>
    <row r="15" spans="1:17" x14ac:dyDescent="0.25">
      <c r="A15" s="4">
        <v>43914.833333333336</v>
      </c>
      <c r="B15" s="13">
        <v>21804</v>
      </c>
      <c r="C15" s="13">
        <v>22694</v>
      </c>
      <c r="D15" s="13">
        <v>536</v>
      </c>
      <c r="E15" s="13">
        <f t="shared" si="4"/>
        <v>54</v>
      </c>
      <c r="F15" s="6">
        <f t="shared" si="0"/>
        <v>2.4582645386167674E-2</v>
      </c>
      <c r="G15" s="6">
        <f t="shared" si="1"/>
        <v>2.3618577597602889E-2</v>
      </c>
      <c r="H15" s="9">
        <f t="shared" si="2"/>
        <v>1.0408181984956888</v>
      </c>
      <c r="I15" s="6">
        <f>(B15/B14)-1</f>
        <v>9.1619104836287102E-2</v>
      </c>
      <c r="J15" s="6">
        <f>(D15/D14)-1</f>
        <v>0.11203319502074693</v>
      </c>
      <c r="K15" s="17">
        <f t="shared" si="7"/>
        <v>1.2228147745051372</v>
      </c>
      <c r="L15" s="13">
        <f>B15-B14</f>
        <v>1830</v>
      </c>
      <c r="M15" s="5">
        <f t="shared" si="9"/>
        <v>1830</v>
      </c>
      <c r="N15" s="9">
        <v>1300000000</v>
      </c>
      <c r="O15" s="6">
        <f>B15/N15</f>
        <v>1.6772307692307693E-5</v>
      </c>
      <c r="Q15" s="5">
        <f>(E14+E15)/(L14+L15)</f>
        <v>3.2712632108706591E-2</v>
      </c>
    </row>
    <row r="16" spans="1:17" x14ac:dyDescent="0.25">
      <c r="A16" s="4">
        <v>43915.416666666664</v>
      </c>
      <c r="B16" s="13">
        <v>22038</v>
      </c>
      <c r="C16" s="13">
        <v>22928</v>
      </c>
      <c r="D16" s="13">
        <v>539</v>
      </c>
      <c r="E16" s="13">
        <f t="shared" si="4"/>
        <v>3</v>
      </c>
      <c r="F16" s="6">
        <f t="shared" si="0"/>
        <v>2.445775478718577E-2</v>
      </c>
      <c r="G16" s="6">
        <f t="shared" si="1"/>
        <v>2.3508374040474529E-2</v>
      </c>
      <c r="H16" s="9">
        <f t="shared" si="2"/>
        <v>1.04038478990834</v>
      </c>
      <c r="I16" s="6">
        <f>(B16/B15)-1</f>
        <v>1.0731975784259662E-2</v>
      </c>
      <c r="J16" s="6">
        <f>(D16/D15)-1</f>
        <v>5.5970149253732338E-3</v>
      </c>
      <c r="K16" s="17">
        <f t="shared" si="7"/>
        <v>0.52152698048221879</v>
      </c>
      <c r="L16" s="13">
        <f>B16-B15</f>
        <v>234</v>
      </c>
      <c r="M16" s="5">
        <f t="shared" si="9"/>
        <v>234</v>
      </c>
      <c r="N16" s="9">
        <v>1300000000</v>
      </c>
      <c r="O16" s="6">
        <f>B16/N16</f>
        <v>1.6952307692307691E-5</v>
      </c>
    </row>
    <row r="17" spans="1:24" x14ac:dyDescent="0.25">
      <c r="A17" s="4">
        <v>43915.833333333336</v>
      </c>
      <c r="B17" s="13">
        <v>24254</v>
      </c>
      <c r="C17" s="13">
        <v>25144</v>
      </c>
      <c r="D17" s="13">
        <v>582</v>
      </c>
      <c r="E17" s="13">
        <f t="shared" si="4"/>
        <v>43</v>
      </c>
      <c r="F17" s="6">
        <f t="shared" si="0"/>
        <v>2.3996041889997526E-2</v>
      </c>
      <c r="G17" s="6">
        <f t="shared" si="1"/>
        <v>2.3146675151129493E-2</v>
      </c>
      <c r="H17" s="9">
        <f t="shared" si="2"/>
        <v>1.0366949781479344</v>
      </c>
      <c r="I17" s="6">
        <f>(B17/B16)-1</f>
        <v>0.10055358925492341</v>
      </c>
      <c r="J17" s="6">
        <f t="shared" ref="J17:J28" si="10">(D17/D16)-1</f>
        <v>7.9777365491651153E-2</v>
      </c>
      <c r="K17" s="17">
        <f>J17/I17</f>
        <v>0.79338157974052637</v>
      </c>
      <c r="L17" s="13">
        <f t="shared" ref="L17:L28" si="11">B17-B16</f>
        <v>2216</v>
      </c>
      <c r="M17" s="5">
        <f t="shared" si="9"/>
        <v>2216</v>
      </c>
      <c r="N17" s="9">
        <v>1300000000</v>
      </c>
      <c r="O17" s="6">
        <f>B17/N17</f>
        <v>1.8656923076923077E-5</v>
      </c>
      <c r="Q17" s="5">
        <f>(E16+E17)/(L16+L17)</f>
        <v>1.8775510204081632E-2</v>
      </c>
    </row>
    <row r="18" spans="1:24" x14ac:dyDescent="0.25">
      <c r="A18" s="4">
        <v>43916.416666666664</v>
      </c>
      <c r="D18" s="13">
        <v>604</v>
      </c>
      <c r="E18" s="13">
        <f t="shared" si="4"/>
        <v>22</v>
      </c>
      <c r="F18" s="6">
        <v>2.46E-2</v>
      </c>
      <c r="G18" s="6">
        <v>2.3699999999999999E-2</v>
      </c>
      <c r="J18" s="6">
        <v>3.7499999999999999E-2</v>
      </c>
      <c r="L18" s="13">
        <v>0</v>
      </c>
    </row>
    <row r="19" spans="1:24" x14ac:dyDescent="0.25">
      <c r="A19" s="4">
        <v>43916.833333333336</v>
      </c>
      <c r="D19" s="13">
        <v>673</v>
      </c>
      <c r="E19" s="13">
        <f t="shared" si="4"/>
        <v>69</v>
      </c>
      <c r="F19" s="6">
        <v>2.52E-2</v>
      </c>
      <c r="G19" s="6">
        <v>2.4299999999999999E-2</v>
      </c>
      <c r="J19" s="6">
        <f t="shared" si="10"/>
        <v>0.11423841059602657</v>
      </c>
      <c r="L19" s="13">
        <f t="shared" si="11"/>
        <v>0</v>
      </c>
      <c r="Q19" s="5">
        <f>(E18+E19)/(L20)</f>
        <v>3.5770440251572326E-2</v>
      </c>
    </row>
    <row r="20" spans="1:24" x14ac:dyDescent="0.25">
      <c r="A20" s="4">
        <v>43917.375</v>
      </c>
      <c r="B20" s="19">
        <v>26798</v>
      </c>
      <c r="C20" s="19">
        <v>27688</v>
      </c>
      <c r="D20" s="13">
        <v>691</v>
      </c>
      <c r="E20" s="13">
        <f t="shared" si="4"/>
        <v>18</v>
      </c>
      <c r="F20" s="6">
        <f>D20/B20</f>
        <v>2.5785506381073214E-2</v>
      </c>
      <c r="G20" s="6">
        <f>D20/C20</f>
        <v>2.4956659924877202E-2</v>
      </c>
      <c r="I20" s="6">
        <f>(B20/B17)-1</f>
        <v>0.10488991506555623</v>
      </c>
      <c r="J20" s="6">
        <f t="shared" si="10"/>
        <v>2.6745913818722045E-2</v>
      </c>
      <c r="K20" s="17">
        <f>((E18+E19+E20)/D17)/I20</f>
        <v>1.7855408048585442</v>
      </c>
      <c r="L20" s="13">
        <f>B20-B17</f>
        <v>2544</v>
      </c>
    </row>
    <row r="21" spans="1:24" x14ac:dyDescent="0.25">
      <c r="A21" s="4">
        <v>43917.375</v>
      </c>
      <c r="D21" s="13">
        <v>804</v>
      </c>
      <c r="E21" s="13">
        <f t="shared" si="4"/>
        <v>113</v>
      </c>
      <c r="J21" s="6">
        <f t="shared" si="10"/>
        <v>0.16353111432706213</v>
      </c>
      <c r="L21" s="13">
        <v>0</v>
      </c>
    </row>
    <row r="22" spans="1:24" x14ac:dyDescent="0.25">
      <c r="A22" s="4">
        <v>43918.375</v>
      </c>
      <c r="D22" s="13">
        <v>833</v>
      </c>
      <c r="E22" s="13">
        <f t="shared" si="4"/>
        <v>29</v>
      </c>
      <c r="J22" s="6">
        <f t="shared" si="10"/>
        <v>3.6069651741293507E-2</v>
      </c>
      <c r="L22" s="13">
        <f t="shared" si="11"/>
        <v>0</v>
      </c>
    </row>
    <row r="23" spans="1:24" x14ac:dyDescent="0.25">
      <c r="A23" s="4">
        <v>43918.833333333336</v>
      </c>
      <c r="D23" s="13">
        <f>941</f>
        <v>941</v>
      </c>
      <c r="E23" s="13">
        <f t="shared" si="4"/>
        <v>108</v>
      </c>
      <c r="J23" s="6">
        <f t="shared" si="10"/>
        <v>0.1296518607442978</v>
      </c>
      <c r="L23" s="13">
        <f t="shared" si="11"/>
        <v>0</v>
      </c>
    </row>
    <row r="24" spans="1:24" x14ac:dyDescent="0.25">
      <c r="A24" s="4">
        <v>43919.375</v>
      </c>
      <c r="B24" s="6"/>
      <c r="D24" s="13">
        <v>963</v>
      </c>
      <c r="E24" s="13">
        <f t="shared" si="4"/>
        <v>22</v>
      </c>
      <c r="J24" s="6">
        <f t="shared" si="10"/>
        <v>2.3379383634431372E-2</v>
      </c>
      <c r="L24" s="13">
        <f t="shared" si="11"/>
        <v>0</v>
      </c>
    </row>
    <row r="25" spans="1:24" ht="12" x14ac:dyDescent="0.25">
      <c r="A25" s="4">
        <v>43919.833333333336</v>
      </c>
      <c r="D25" s="13">
        <v>1050</v>
      </c>
      <c r="E25" s="13">
        <f t="shared" si="4"/>
        <v>87</v>
      </c>
      <c r="J25" s="6">
        <f t="shared" si="10"/>
        <v>9.0342679127725756E-2</v>
      </c>
      <c r="L25" s="13">
        <f t="shared" si="11"/>
        <v>0</v>
      </c>
      <c r="W25" s="46" t="s">
        <v>0</v>
      </c>
      <c r="X25" s="44" t="s">
        <v>160</v>
      </c>
    </row>
    <row r="26" spans="1:24" x14ac:dyDescent="0.25">
      <c r="A26" s="4">
        <v>43920.375</v>
      </c>
      <c r="B26" s="13">
        <v>38442</v>
      </c>
      <c r="D26" s="13">
        <v>1082</v>
      </c>
      <c r="E26" s="13">
        <f t="shared" si="4"/>
        <v>32</v>
      </c>
      <c r="J26" s="6">
        <f t="shared" si="10"/>
        <v>3.0476190476190546E-2</v>
      </c>
      <c r="L26" s="21">
        <f>(B26-B20)/3</f>
        <v>3881.3333333333335</v>
      </c>
      <c r="M26" s="5">
        <f>0.95*1139</f>
        <v>1082.05</v>
      </c>
      <c r="Q26" s="5">
        <f>(D26-D20)/(L26*3)</f>
        <v>3.3579525936104429E-2</v>
      </c>
      <c r="W26" s="54">
        <v>43914</v>
      </c>
      <c r="X26" s="6">
        <v>3.0476190476190476E-2</v>
      </c>
    </row>
    <row r="27" spans="1:24" x14ac:dyDescent="0.25">
      <c r="A27" s="4">
        <v>43921</v>
      </c>
      <c r="B27" s="13">
        <v>42788</v>
      </c>
      <c r="D27" s="13">
        <v>1347</v>
      </c>
      <c r="E27" s="13">
        <f t="shared" si="4"/>
        <v>265</v>
      </c>
      <c r="J27" s="6">
        <f t="shared" si="10"/>
        <v>0.24491682070240306</v>
      </c>
      <c r="L27" s="13">
        <f t="shared" si="11"/>
        <v>4346</v>
      </c>
      <c r="Q27" s="5">
        <f>(D27-D26)/L27</f>
        <v>6.097560975609756E-2</v>
      </c>
      <c r="W27" s="54">
        <v>43915</v>
      </c>
      <c r="X27" s="6">
        <v>4.3938161106590726E-2</v>
      </c>
    </row>
    <row r="28" spans="1:24" x14ac:dyDescent="0.25">
      <c r="A28" s="4">
        <v>43922</v>
      </c>
      <c r="B28" s="13">
        <v>47951</v>
      </c>
      <c r="D28" s="13">
        <v>1637</v>
      </c>
      <c r="E28" s="13">
        <f t="shared" si="4"/>
        <v>290</v>
      </c>
      <c r="J28" s="6">
        <f t="shared" si="10"/>
        <v>0.21529324424647367</v>
      </c>
      <c r="L28" s="13">
        <f t="shared" si="11"/>
        <v>5163</v>
      </c>
      <c r="P28" s="6">
        <f>(D28-D20)/(B28-B20)</f>
        <v>4.4721788871554861E-2</v>
      </c>
      <c r="Q28" s="5">
        <f>(D28-D27)/L28</f>
        <v>5.6168894053844662E-2</v>
      </c>
      <c r="W28" s="54">
        <v>43916</v>
      </c>
      <c r="X28" s="6">
        <v>5.2422030524220307E-2</v>
      </c>
    </row>
    <row r="29" spans="1:24" x14ac:dyDescent="0.25">
      <c r="B29" s="13">
        <v>55851</v>
      </c>
      <c r="D29" s="13">
        <v>2056</v>
      </c>
      <c r="E29" s="13">
        <f t="shared" si="4"/>
        <v>419</v>
      </c>
      <c r="J29" s="6">
        <f>(D29/D28)-1</f>
        <v>0.25595601710445948</v>
      </c>
      <c r="L29" s="13">
        <f>B29-B28</f>
        <v>7900</v>
      </c>
      <c r="Q29" s="5">
        <f>(D29-D28)/L29</f>
        <v>5.3037974683544306E-2</v>
      </c>
      <c r="W29" s="54">
        <v>43917</v>
      </c>
      <c r="X29" s="6">
        <v>6.6611842105263164E-2</v>
      </c>
    </row>
    <row r="30" spans="1:24" x14ac:dyDescent="0.25">
      <c r="B30" s="13">
        <v>56680</v>
      </c>
      <c r="D30" s="13">
        <v>2183</v>
      </c>
      <c r="E30" s="13">
        <f t="shared" si="4"/>
        <v>127</v>
      </c>
      <c r="J30" s="6">
        <f>(D30/D29)-1</f>
        <v>6.1770428015564205E-2</v>
      </c>
      <c r="L30" s="13">
        <f>B30-B29</f>
        <v>829</v>
      </c>
      <c r="Q30" s="5">
        <f>(D30-D29)/L30</f>
        <v>0.15319662243667068</v>
      </c>
      <c r="W30" s="54">
        <v>43918</v>
      </c>
      <c r="X30" s="6">
        <v>2.9069767441860465E-2</v>
      </c>
    </row>
    <row r="31" spans="1:24" x14ac:dyDescent="0.25">
      <c r="W31" s="54">
        <v>43919</v>
      </c>
      <c r="X31" s="6">
        <v>3.2712632108706591E-2</v>
      </c>
    </row>
    <row r="32" spans="1:24" x14ac:dyDescent="0.25">
      <c r="W32" s="54">
        <v>43920</v>
      </c>
      <c r="X32" s="6">
        <v>1.8775510204081632E-2</v>
      </c>
    </row>
    <row r="33" spans="23:24" x14ac:dyDescent="0.25">
      <c r="W33" s="54">
        <v>43921</v>
      </c>
      <c r="X33" s="6">
        <v>3.5770440251572326E-2</v>
      </c>
    </row>
    <row r="34" spans="23:24" x14ac:dyDescent="0.25">
      <c r="W34" s="54">
        <v>43922</v>
      </c>
      <c r="X34" s="6">
        <v>3.3579525936104429E-2</v>
      </c>
    </row>
    <row r="35" spans="23:24" x14ac:dyDescent="0.25">
      <c r="W35" s="54">
        <v>43923</v>
      </c>
      <c r="X35" s="6">
        <v>6.097560975609756E-2</v>
      </c>
    </row>
    <row r="36" spans="23:24" x14ac:dyDescent="0.25">
      <c r="W36" s="54">
        <v>43924</v>
      </c>
      <c r="X36" s="6">
        <v>5.6168894053844662E-2</v>
      </c>
    </row>
    <row r="37" spans="23:24" x14ac:dyDescent="0.25">
      <c r="W37" s="54">
        <v>43925</v>
      </c>
      <c r="X37" s="6">
        <v>5.3037974683544306E-2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D56C-AC3A-4BE5-8616-8C2672D86CC6}">
  <dimension ref="A1:AH34"/>
  <sheetViews>
    <sheetView topLeftCell="I1" workbookViewId="0">
      <selection activeCell="AF35" sqref="AF35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9.140625" customWidth="1"/>
    <col min="4" max="4" width="9.7109375" bestFit="1" customWidth="1"/>
    <col min="5" max="5" width="10.140625" bestFit="1" customWidth="1"/>
    <col min="6" max="6" width="9.5703125" bestFit="1" customWidth="1"/>
    <col min="15" max="15" width="12" bestFit="1" customWidth="1"/>
    <col min="17" max="17" width="11.140625" bestFit="1" customWidth="1"/>
    <col min="19" max="19" width="11" bestFit="1" customWidth="1"/>
    <col min="20" max="20" width="12.140625" bestFit="1" customWidth="1"/>
    <col min="30" max="30" width="11.140625" bestFit="1" customWidth="1"/>
    <col min="31" max="31" width="12.5703125" style="1" bestFit="1" customWidth="1"/>
  </cols>
  <sheetData>
    <row r="1" spans="1:34" s="11" customFormat="1" x14ac:dyDescent="0.25">
      <c r="A1" s="11" t="s">
        <v>0</v>
      </c>
      <c r="B1" s="11" t="s">
        <v>84</v>
      </c>
      <c r="C1" s="11" t="s">
        <v>85</v>
      </c>
      <c r="D1" s="11" t="s">
        <v>86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  <c r="J1" s="11" t="s">
        <v>93</v>
      </c>
      <c r="K1" s="11" t="s">
        <v>92</v>
      </c>
      <c r="L1" s="11" t="s">
        <v>94</v>
      </c>
      <c r="M1" s="11" t="s">
        <v>95</v>
      </c>
      <c r="N1" s="11" t="s">
        <v>96</v>
      </c>
      <c r="O1" s="11" t="s">
        <v>97</v>
      </c>
      <c r="P1" s="11" t="s">
        <v>98</v>
      </c>
      <c r="Q1" s="11" t="s">
        <v>99</v>
      </c>
      <c r="R1" s="11" t="s">
        <v>100</v>
      </c>
      <c r="S1" s="11" t="s">
        <v>101</v>
      </c>
      <c r="T1" s="11" t="s">
        <v>102</v>
      </c>
      <c r="U1" s="11" t="s">
        <v>103</v>
      </c>
      <c r="V1" s="11" t="s">
        <v>104</v>
      </c>
      <c r="W1" s="11" t="s">
        <v>105</v>
      </c>
      <c r="X1" s="11" t="s">
        <v>106</v>
      </c>
      <c r="Y1" s="11" t="s">
        <v>107</v>
      </c>
      <c r="Z1" s="11" t="s">
        <v>108</v>
      </c>
      <c r="AA1" s="11" t="s">
        <v>113</v>
      </c>
      <c r="AB1" s="11" t="s">
        <v>109</v>
      </c>
      <c r="AC1" s="11" t="s">
        <v>110</v>
      </c>
      <c r="AD1" s="11" t="s">
        <v>111</v>
      </c>
      <c r="AE1" s="15" t="s">
        <v>112</v>
      </c>
    </row>
    <row r="2" spans="1:34" x14ac:dyDescent="0.25">
      <c r="A2" s="18">
        <v>43892</v>
      </c>
      <c r="E2">
        <v>1</v>
      </c>
      <c r="I2">
        <v>1</v>
      </c>
      <c r="AC2">
        <f>SUM(B2:AB2)</f>
        <v>2</v>
      </c>
      <c r="AD2">
        <v>1</v>
      </c>
    </row>
    <row r="3" spans="1:34" x14ac:dyDescent="0.25">
      <c r="A3" s="18">
        <v>43893</v>
      </c>
      <c r="F3">
        <v>1</v>
      </c>
      <c r="AC3">
        <f t="shared" ref="AC3:AC25" si="0">SUM(B3:AB3)</f>
        <v>1</v>
      </c>
      <c r="AD3">
        <f>AD2+AC3</f>
        <v>2</v>
      </c>
      <c r="AE3" s="1">
        <f t="shared" ref="AE3:AE25" si="1">(AD3-AD2)/AD2</f>
        <v>1</v>
      </c>
    </row>
    <row r="4" spans="1:34" x14ac:dyDescent="0.25">
      <c r="A4" s="18">
        <v>43894</v>
      </c>
      <c r="F4">
        <v>1</v>
      </c>
      <c r="G4">
        <v>14</v>
      </c>
      <c r="H4">
        <v>7</v>
      </c>
      <c r="AC4">
        <f t="shared" si="0"/>
        <v>22</v>
      </c>
      <c r="AD4">
        <f t="shared" ref="AD4:AD25" si="2">AD3+AC4</f>
        <v>24</v>
      </c>
      <c r="AE4" s="1">
        <f t="shared" si="1"/>
        <v>11</v>
      </c>
      <c r="AF4">
        <v>28</v>
      </c>
      <c r="AH4">
        <f t="shared" ref="AH4:AH25" si="3">AF4-AF3</f>
        <v>28</v>
      </c>
    </row>
    <row r="5" spans="1:34" x14ac:dyDescent="0.25">
      <c r="A5" s="18">
        <v>43895</v>
      </c>
      <c r="H5">
        <v>1</v>
      </c>
      <c r="I5">
        <v>1</v>
      </c>
      <c r="AC5">
        <f t="shared" si="0"/>
        <v>2</v>
      </c>
      <c r="AD5">
        <f t="shared" si="2"/>
        <v>26</v>
      </c>
      <c r="AE5" s="1">
        <f t="shared" si="1"/>
        <v>8.3333333333333329E-2</v>
      </c>
      <c r="AF5">
        <v>30</v>
      </c>
      <c r="AG5" s="1">
        <f t="shared" ref="AG5:AG24" si="4">(AF5-AF4)/AF4</f>
        <v>7.1428571428571425E-2</v>
      </c>
      <c r="AH5">
        <f t="shared" si="3"/>
        <v>2</v>
      </c>
    </row>
    <row r="6" spans="1:34" x14ac:dyDescent="0.25">
      <c r="A6" s="18">
        <v>43896</v>
      </c>
      <c r="I6">
        <v>3</v>
      </c>
      <c r="AC6">
        <f t="shared" si="0"/>
        <v>3</v>
      </c>
      <c r="AD6">
        <f t="shared" si="2"/>
        <v>29</v>
      </c>
      <c r="AE6" s="1">
        <f t="shared" si="1"/>
        <v>0.11538461538461539</v>
      </c>
      <c r="AF6">
        <v>31</v>
      </c>
      <c r="AG6" s="1">
        <f t="shared" si="4"/>
        <v>3.3333333333333333E-2</v>
      </c>
      <c r="AH6">
        <f t="shared" si="3"/>
        <v>1</v>
      </c>
    </row>
    <row r="7" spans="1:34" x14ac:dyDescent="0.25">
      <c r="A7" s="18">
        <v>43897</v>
      </c>
      <c r="J7">
        <v>1</v>
      </c>
      <c r="K7">
        <v>1</v>
      </c>
      <c r="AC7">
        <f t="shared" si="0"/>
        <v>2</v>
      </c>
      <c r="AD7">
        <f t="shared" si="2"/>
        <v>31</v>
      </c>
      <c r="AE7" s="1">
        <f t="shared" si="1"/>
        <v>6.8965517241379309E-2</v>
      </c>
      <c r="AF7">
        <v>34</v>
      </c>
      <c r="AG7" s="1">
        <f t="shared" si="4"/>
        <v>9.6774193548387094E-2</v>
      </c>
      <c r="AH7">
        <f t="shared" si="3"/>
        <v>3</v>
      </c>
    </row>
    <row r="8" spans="1:34" x14ac:dyDescent="0.25">
      <c r="A8" s="18">
        <v>43898</v>
      </c>
      <c r="C8">
        <v>5</v>
      </c>
      <c r="AC8">
        <f t="shared" si="0"/>
        <v>5</v>
      </c>
      <c r="AD8">
        <f t="shared" si="2"/>
        <v>36</v>
      </c>
      <c r="AE8" s="1">
        <f t="shared" si="1"/>
        <v>0.16129032258064516</v>
      </c>
      <c r="AF8">
        <v>39</v>
      </c>
      <c r="AG8" s="1">
        <f t="shared" si="4"/>
        <v>0.14705882352941177</v>
      </c>
      <c r="AH8">
        <f t="shared" si="3"/>
        <v>5</v>
      </c>
    </row>
    <row r="9" spans="1:34" x14ac:dyDescent="0.25">
      <c r="A9" s="18">
        <v>43899</v>
      </c>
      <c r="B9">
        <v>2</v>
      </c>
      <c r="C9">
        <v>1</v>
      </c>
      <c r="D9">
        <v>1</v>
      </c>
      <c r="H9">
        <v>2</v>
      </c>
      <c r="I9">
        <v>1</v>
      </c>
      <c r="L9">
        <v>1</v>
      </c>
      <c r="M9">
        <v>1</v>
      </c>
      <c r="AC9">
        <f t="shared" si="0"/>
        <v>9</v>
      </c>
      <c r="AD9">
        <f t="shared" si="2"/>
        <v>45</v>
      </c>
      <c r="AE9" s="1">
        <f t="shared" si="1"/>
        <v>0.25</v>
      </c>
      <c r="AF9">
        <v>48</v>
      </c>
      <c r="AG9" s="1">
        <f t="shared" si="4"/>
        <v>0.23076923076923078</v>
      </c>
      <c r="AH9">
        <f t="shared" si="3"/>
        <v>9</v>
      </c>
    </row>
    <row r="10" spans="1:34" x14ac:dyDescent="0.25">
      <c r="A10" s="18">
        <v>43900</v>
      </c>
      <c r="B10">
        <v>3</v>
      </c>
      <c r="C10">
        <v>8</v>
      </c>
      <c r="D10">
        <v>2</v>
      </c>
      <c r="F10">
        <v>1</v>
      </c>
      <c r="AC10">
        <f t="shared" si="0"/>
        <v>14</v>
      </c>
      <c r="AD10">
        <f t="shared" si="2"/>
        <v>59</v>
      </c>
      <c r="AE10" s="1">
        <f t="shared" si="1"/>
        <v>0.31111111111111112</v>
      </c>
      <c r="AF10">
        <v>63</v>
      </c>
      <c r="AG10" s="1">
        <f t="shared" si="4"/>
        <v>0.3125</v>
      </c>
      <c r="AH10">
        <f t="shared" si="3"/>
        <v>15</v>
      </c>
    </row>
    <row r="11" spans="1:34" x14ac:dyDescent="0.25">
      <c r="A11" s="18">
        <v>43901</v>
      </c>
      <c r="B11">
        <v>5</v>
      </c>
      <c r="I11">
        <v>1</v>
      </c>
      <c r="J11">
        <v>1</v>
      </c>
      <c r="AC11">
        <f t="shared" si="0"/>
        <v>7</v>
      </c>
      <c r="AD11">
        <f t="shared" si="2"/>
        <v>66</v>
      </c>
      <c r="AE11" s="1">
        <f t="shared" si="1"/>
        <v>0.11864406779661017</v>
      </c>
      <c r="AF11">
        <v>70</v>
      </c>
      <c r="AG11" s="1">
        <f t="shared" si="4"/>
        <v>0.1111111111111111</v>
      </c>
      <c r="AH11">
        <f t="shared" si="3"/>
        <v>7</v>
      </c>
    </row>
    <row r="12" spans="1:34" x14ac:dyDescent="0.25">
      <c r="A12" s="18">
        <v>43902</v>
      </c>
      <c r="B12">
        <v>4</v>
      </c>
      <c r="D12">
        <v>1</v>
      </c>
      <c r="H12">
        <v>2</v>
      </c>
      <c r="I12">
        <v>1</v>
      </c>
      <c r="N12">
        <v>1</v>
      </c>
      <c r="AC12">
        <f t="shared" si="0"/>
        <v>9</v>
      </c>
      <c r="AD12">
        <f t="shared" si="2"/>
        <v>75</v>
      </c>
      <c r="AE12" s="1">
        <f t="shared" si="1"/>
        <v>0.13636363636363635</v>
      </c>
      <c r="AF12">
        <v>82</v>
      </c>
      <c r="AG12" s="1">
        <f t="shared" si="4"/>
        <v>0.17142857142857143</v>
      </c>
      <c r="AH12">
        <f t="shared" si="3"/>
        <v>12</v>
      </c>
    </row>
    <row r="13" spans="1:34" x14ac:dyDescent="0.25">
      <c r="A13" s="18">
        <v>43903</v>
      </c>
      <c r="B13">
        <v>3</v>
      </c>
      <c r="C13">
        <v>3</v>
      </c>
      <c r="H13">
        <v>1</v>
      </c>
      <c r="I13">
        <v>1</v>
      </c>
      <c r="L13">
        <v>1</v>
      </c>
      <c r="AC13">
        <f t="shared" si="0"/>
        <v>9</v>
      </c>
      <c r="AD13">
        <f t="shared" si="2"/>
        <v>84</v>
      </c>
      <c r="AE13" s="1">
        <f t="shared" si="1"/>
        <v>0.12</v>
      </c>
      <c r="AF13">
        <v>91</v>
      </c>
      <c r="AG13" s="1">
        <f t="shared" si="4"/>
        <v>0.10975609756097561</v>
      </c>
      <c r="AH13">
        <f t="shared" si="3"/>
        <v>9</v>
      </c>
    </row>
    <row r="14" spans="1:34" x14ac:dyDescent="0.25">
      <c r="A14" s="18">
        <v>43904</v>
      </c>
      <c r="B14">
        <v>14</v>
      </c>
      <c r="E14">
        <v>1</v>
      </c>
      <c r="F14">
        <v>1</v>
      </c>
      <c r="AC14">
        <f t="shared" si="0"/>
        <v>16</v>
      </c>
      <c r="AD14">
        <f t="shared" si="2"/>
        <v>100</v>
      </c>
      <c r="AE14" s="1">
        <f t="shared" si="1"/>
        <v>0.19047619047619047</v>
      </c>
      <c r="AF14">
        <v>107</v>
      </c>
      <c r="AG14" s="1">
        <f t="shared" si="4"/>
        <v>0.17582417582417584</v>
      </c>
      <c r="AH14">
        <f t="shared" si="3"/>
        <v>16</v>
      </c>
    </row>
    <row r="15" spans="1:34" x14ac:dyDescent="0.25">
      <c r="A15" s="18">
        <v>43905</v>
      </c>
      <c r="B15">
        <v>2</v>
      </c>
      <c r="C15">
        <v>2</v>
      </c>
      <c r="E15">
        <v>1</v>
      </c>
      <c r="O15">
        <v>1</v>
      </c>
      <c r="AC15">
        <f t="shared" si="0"/>
        <v>6</v>
      </c>
      <c r="AD15">
        <f t="shared" si="2"/>
        <v>106</v>
      </c>
      <c r="AE15" s="1">
        <f t="shared" si="1"/>
        <v>0.06</v>
      </c>
      <c r="AF15">
        <v>113</v>
      </c>
      <c r="AG15" s="1">
        <f t="shared" si="4"/>
        <v>5.6074766355140186E-2</v>
      </c>
      <c r="AH15">
        <f t="shared" si="3"/>
        <v>6</v>
      </c>
    </row>
    <row r="16" spans="1:34" x14ac:dyDescent="0.25">
      <c r="A16" s="18">
        <v>43906</v>
      </c>
      <c r="B16">
        <v>6</v>
      </c>
      <c r="C16">
        <v>3</v>
      </c>
      <c r="D16">
        <v>2</v>
      </c>
      <c r="E16">
        <v>1</v>
      </c>
      <c r="L16">
        <v>1</v>
      </c>
      <c r="P16">
        <v>1</v>
      </c>
      <c r="AC16">
        <f t="shared" si="0"/>
        <v>14</v>
      </c>
      <c r="AD16">
        <f t="shared" si="2"/>
        <v>120</v>
      </c>
      <c r="AE16" s="1">
        <f t="shared" si="1"/>
        <v>0.13207547169811321</v>
      </c>
      <c r="AF16">
        <v>127</v>
      </c>
      <c r="AG16" s="1">
        <f t="shared" si="4"/>
        <v>0.12389380530973451</v>
      </c>
      <c r="AH16">
        <f t="shared" si="3"/>
        <v>14</v>
      </c>
    </row>
    <row r="17" spans="1:34" x14ac:dyDescent="0.25">
      <c r="A17" s="18">
        <v>43907</v>
      </c>
      <c r="B17">
        <v>2</v>
      </c>
      <c r="D17">
        <v>3</v>
      </c>
      <c r="E17">
        <v>1</v>
      </c>
      <c r="G17">
        <v>1</v>
      </c>
      <c r="H17">
        <v>2</v>
      </c>
      <c r="I17">
        <v>3</v>
      </c>
      <c r="J17">
        <v>5</v>
      </c>
      <c r="Q17">
        <v>1</v>
      </c>
      <c r="R17">
        <v>1</v>
      </c>
      <c r="AC17">
        <f t="shared" si="0"/>
        <v>19</v>
      </c>
      <c r="AD17">
        <f t="shared" si="2"/>
        <v>139</v>
      </c>
      <c r="AE17" s="1">
        <f t="shared" si="1"/>
        <v>0.15833333333333333</v>
      </c>
      <c r="AF17">
        <v>146</v>
      </c>
      <c r="AG17" s="1">
        <f t="shared" si="4"/>
        <v>0.14960629921259844</v>
      </c>
      <c r="AH17">
        <f t="shared" si="3"/>
        <v>19</v>
      </c>
    </row>
    <row r="18" spans="1:34" x14ac:dyDescent="0.25">
      <c r="A18" s="18">
        <v>43908</v>
      </c>
      <c r="B18">
        <v>4</v>
      </c>
      <c r="D18">
        <v>3</v>
      </c>
      <c r="E18">
        <v>8</v>
      </c>
      <c r="F18">
        <v>3</v>
      </c>
      <c r="G18">
        <v>2</v>
      </c>
      <c r="H18">
        <v>2</v>
      </c>
      <c r="I18">
        <v>1</v>
      </c>
      <c r="K18">
        <v>1</v>
      </c>
      <c r="L18">
        <v>1</v>
      </c>
      <c r="AC18">
        <f t="shared" si="0"/>
        <v>25</v>
      </c>
      <c r="AD18">
        <f t="shared" si="2"/>
        <v>164</v>
      </c>
      <c r="AE18" s="1">
        <f t="shared" si="1"/>
        <v>0.17985611510791366</v>
      </c>
      <c r="AF18">
        <v>171</v>
      </c>
      <c r="AG18" s="1">
        <f t="shared" si="4"/>
        <v>0.17123287671232876</v>
      </c>
      <c r="AH18">
        <f t="shared" si="3"/>
        <v>25</v>
      </c>
    </row>
    <row r="19" spans="1:34" x14ac:dyDescent="0.25">
      <c r="A19" s="18">
        <v>43909</v>
      </c>
      <c r="B19">
        <v>4</v>
      </c>
      <c r="C19">
        <v>1</v>
      </c>
      <c r="D19">
        <v>1</v>
      </c>
      <c r="E19">
        <v>3</v>
      </c>
      <c r="F19">
        <v>2</v>
      </c>
      <c r="H19">
        <v>3</v>
      </c>
      <c r="I19">
        <v>3</v>
      </c>
      <c r="K19">
        <v>1</v>
      </c>
      <c r="M19">
        <v>1</v>
      </c>
      <c r="N19">
        <v>2</v>
      </c>
      <c r="O19">
        <v>2</v>
      </c>
      <c r="P19">
        <v>1</v>
      </c>
      <c r="S19">
        <v>1</v>
      </c>
      <c r="T19">
        <v>1</v>
      </c>
      <c r="U19">
        <v>2</v>
      </c>
      <c r="AC19">
        <f t="shared" si="0"/>
        <v>28</v>
      </c>
      <c r="AD19">
        <f t="shared" si="2"/>
        <v>192</v>
      </c>
      <c r="AE19" s="1">
        <f t="shared" si="1"/>
        <v>0.17073170731707318</v>
      </c>
      <c r="AF19">
        <v>199</v>
      </c>
      <c r="AG19" s="1">
        <f t="shared" si="4"/>
        <v>0.16374269005847952</v>
      </c>
      <c r="AH19">
        <f t="shared" si="3"/>
        <v>28</v>
      </c>
    </row>
    <row r="20" spans="1:34" x14ac:dyDescent="0.25">
      <c r="A20" s="18">
        <v>43910</v>
      </c>
      <c r="B20">
        <v>5</v>
      </c>
      <c r="C20">
        <v>12</v>
      </c>
      <c r="E20">
        <v>3</v>
      </c>
      <c r="F20">
        <v>8</v>
      </c>
      <c r="G20">
        <v>2</v>
      </c>
      <c r="H20">
        <v>4</v>
      </c>
      <c r="I20">
        <v>6</v>
      </c>
      <c r="J20">
        <v>2</v>
      </c>
      <c r="M20">
        <v>1</v>
      </c>
      <c r="R20">
        <v>1</v>
      </c>
      <c r="S20">
        <v>4</v>
      </c>
      <c r="U20">
        <v>5</v>
      </c>
      <c r="V20">
        <v>4</v>
      </c>
      <c r="W20">
        <v>2</v>
      </c>
      <c r="AC20">
        <f t="shared" si="0"/>
        <v>59</v>
      </c>
      <c r="AD20">
        <f t="shared" si="2"/>
        <v>251</v>
      </c>
      <c r="AE20" s="1">
        <f t="shared" si="1"/>
        <v>0.30729166666666669</v>
      </c>
      <c r="AF20">
        <v>258</v>
      </c>
      <c r="AG20" s="1">
        <f t="shared" si="4"/>
        <v>0.29648241206030151</v>
      </c>
      <c r="AH20">
        <f t="shared" si="3"/>
        <v>59</v>
      </c>
    </row>
    <row r="21" spans="1:34" x14ac:dyDescent="0.25">
      <c r="A21" s="18">
        <v>43911</v>
      </c>
      <c r="B21">
        <v>10</v>
      </c>
      <c r="C21">
        <v>12</v>
      </c>
      <c r="D21">
        <v>5</v>
      </c>
      <c r="E21">
        <v>2</v>
      </c>
      <c r="F21">
        <v>6</v>
      </c>
      <c r="G21">
        <v>2</v>
      </c>
      <c r="H21">
        <v>4</v>
      </c>
      <c r="I21">
        <v>7</v>
      </c>
      <c r="J21">
        <v>3</v>
      </c>
      <c r="K21">
        <v>3</v>
      </c>
      <c r="M21">
        <v>10</v>
      </c>
      <c r="N21">
        <v>2</v>
      </c>
      <c r="R21">
        <v>2</v>
      </c>
      <c r="U21">
        <v>7</v>
      </c>
      <c r="AC21">
        <f t="shared" si="0"/>
        <v>75</v>
      </c>
      <c r="AD21">
        <f t="shared" si="2"/>
        <v>326</v>
      </c>
      <c r="AE21" s="1">
        <f t="shared" si="1"/>
        <v>0.29880478087649404</v>
      </c>
      <c r="AF21">
        <v>334</v>
      </c>
      <c r="AG21" s="1">
        <f t="shared" si="4"/>
        <v>0.29457364341085274</v>
      </c>
      <c r="AH21">
        <f t="shared" si="3"/>
        <v>76</v>
      </c>
    </row>
    <row r="22" spans="1:34" x14ac:dyDescent="0.25">
      <c r="A22" s="18">
        <v>43912</v>
      </c>
      <c r="B22">
        <v>10</v>
      </c>
      <c r="C22">
        <v>15</v>
      </c>
      <c r="D22">
        <v>6</v>
      </c>
      <c r="E22">
        <v>6</v>
      </c>
      <c r="F22">
        <v>5</v>
      </c>
      <c r="H22">
        <v>2</v>
      </c>
      <c r="I22">
        <v>1</v>
      </c>
      <c r="J22">
        <v>1</v>
      </c>
      <c r="K22">
        <v>3</v>
      </c>
      <c r="M22">
        <v>8</v>
      </c>
      <c r="N22">
        <v>1</v>
      </c>
      <c r="R22">
        <v>3</v>
      </c>
      <c r="S22">
        <v>1</v>
      </c>
      <c r="U22">
        <v>4</v>
      </c>
      <c r="V22">
        <v>2</v>
      </c>
      <c r="X22">
        <v>2</v>
      </c>
      <c r="AC22">
        <f t="shared" si="0"/>
        <v>70</v>
      </c>
      <c r="AD22">
        <f t="shared" si="2"/>
        <v>396</v>
      </c>
      <c r="AE22" s="1">
        <f t="shared" si="1"/>
        <v>0.21472392638036811</v>
      </c>
      <c r="AF22">
        <v>403</v>
      </c>
      <c r="AG22" s="1">
        <f t="shared" si="4"/>
        <v>0.20658682634730538</v>
      </c>
      <c r="AH22">
        <f t="shared" si="3"/>
        <v>69</v>
      </c>
    </row>
    <row r="23" spans="1:34" x14ac:dyDescent="0.25">
      <c r="A23" s="18">
        <v>43913</v>
      </c>
      <c r="B23">
        <v>23</v>
      </c>
      <c r="C23">
        <v>28</v>
      </c>
      <c r="D23">
        <v>7</v>
      </c>
      <c r="E23">
        <v>6</v>
      </c>
      <c r="F23">
        <v>3</v>
      </c>
      <c r="G23">
        <v>7</v>
      </c>
      <c r="H23">
        <v>4</v>
      </c>
      <c r="I23">
        <v>2</v>
      </c>
      <c r="K23">
        <v>3</v>
      </c>
      <c r="M23">
        <v>2</v>
      </c>
      <c r="N23">
        <v>1</v>
      </c>
      <c r="O23">
        <v>1</v>
      </c>
      <c r="P23">
        <v>1</v>
      </c>
      <c r="S23">
        <v>1</v>
      </c>
      <c r="U23">
        <v>12</v>
      </c>
      <c r="W23">
        <v>1</v>
      </c>
      <c r="X23">
        <v>1</v>
      </c>
      <c r="AC23">
        <f t="shared" si="0"/>
        <v>103</v>
      </c>
      <c r="AD23">
        <f t="shared" si="2"/>
        <v>499</v>
      </c>
      <c r="AE23" s="1">
        <f t="shared" si="1"/>
        <v>0.26010101010101011</v>
      </c>
      <c r="AF23">
        <v>505</v>
      </c>
      <c r="AG23" s="1">
        <f t="shared" si="4"/>
        <v>0.25310173697270472</v>
      </c>
      <c r="AH23">
        <f t="shared" si="3"/>
        <v>102</v>
      </c>
    </row>
    <row r="24" spans="1:34" x14ac:dyDescent="0.25">
      <c r="A24" s="18">
        <v>43914</v>
      </c>
      <c r="B24">
        <v>10</v>
      </c>
      <c r="C24">
        <v>14</v>
      </c>
      <c r="D24">
        <v>8</v>
      </c>
      <c r="E24">
        <v>6</v>
      </c>
      <c r="G24">
        <v>2</v>
      </c>
      <c r="H24">
        <v>1</v>
      </c>
      <c r="K24">
        <v>6</v>
      </c>
      <c r="L24">
        <v>2</v>
      </c>
      <c r="M24">
        <v>6</v>
      </c>
      <c r="N24">
        <v>1</v>
      </c>
      <c r="R24">
        <v>2</v>
      </c>
      <c r="U24">
        <v>6</v>
      </c>
      <c r="V24">
        <v>1</v>
      </c>
      <c r="Y24">
        <v>1</v>
      </c>
      <c r="AC24">
        <f t="shared" si="0"/>
        <v>66</v>
      </c>
      <c r="AD24">
        <f t="shared" si="2"/>
        <v>565</v>
      </c>
      <c r="AE24" s="1">
        <f t="shared" si="1"/>
        <v>0.13226452905811623</v>
      </c>
      <c r="AF24">
        <v>571</v>
      </c>
      <c r="AG24" s="1">
        <f t="shared" si="4"/>
        <v>0.1306930693069307</v>
      </c>
      <c r="AH24">
        <f t="shared" si="3"/>
        <v>66</v>
      </c>
    </row>
    <row r="25" spans="1:34" x14ac:dyDescent="0.25">
      <c r="A25" s="18">
        <v>43915</v>
      </c>
      <c r="B25">
        <v>15</v>
      </c>
      <c r="C25">
        <v>9</v>
      </c>
      <c r="D25">
        <v>10</v>
      </c>
      <c r="E25">
        <v>2</v>
      </c>
      <c r="F25">
        <v>6</v>
      </c>
      <c r="G25">
        <v>1</v>
      </c>
      <c r="H25">
        <v>3</v>
      </c>
      <c r="I25">
        <v>5</v>
      </c>
      <c r="K25">
        <v>8</v>
      </c>
      <c r="L25">
        <v>5</v>
      </c>
      <c r="M25">
        <v>2</v>
      </c>
      <c r="N25">
        <v>2</v>
      </c>
      <c r="O25">
        <v>1</v>
      </c>
      <c r="T25">
        <v>2</v>
      </c>
      <c r="U25">
        <v>2</v>
      </c>
      <c r="V25">
        <v>8</v>
      </c>
      <c r="X25">
        <v>1</v>
      </c>
      <c r="Z25">
        <v>1</v>
      </c>
      <c r="AB25">
        <v>3</v>
      </c>
      <c r="AC25">
        <f t="shared" si="0"/>
        <v>86</v>
      </c>
      <c r="AD25">
        <f t="shared" si="2"/>
        <v>651</v>
      </c>
      <c r="AE25" s="1">
        <f t="shared" si="1"/>
        <v>0.15221238938053097</v>
      </c>
      <c r="AF25">
        <v>657</v>
      </c>
      <c r="AG25" s="1">
        <f t="shared" ref="AG25:AG33" si="5">(AF25-AF24)/AF24</f>
        <v>0.15061295971978983</v>
      </c>
      <c r="AH25">
        <f t="shared" si="3"/>
        <v>86</v>
      </c>
    </row>
    <row r="26" spans="1:34" x14ac:dyDescent="0.25">
      <c r="A26" s="18">
        <v>43916</v>
      </c>
      <c r="B26">
        <f>130-SUM(B9:B25)</f>
        <v>8</v>
      </c>
      <c r="C26">
        <f>137-(SUM(C8:C25))</f>
        <v>24</v>
      </c>
      <c r="D26">
        <f>55-SUM(D9:D25)</f>
        <v>6</v>
      </c>
      <c r="E26">
        <f>45-(SUM(E2:E25))</f>
        <v>4</v>
      </c>
      <c r="F26">
        <f>47-SUM(E2:E25)</f>
        <v>6</v>
      </c>
      <c r="G26">
        <f>32-SUM(G4:G25)</f>
        <v>1</v>
      </c>
      <c r="H26">
        <f>42-SUM(H4:H25)</f>
        <v>4</v>
      </c>
      <c r="I26">
        <v>2</v>
      </c>
      <c r="K26">
        <f>29-SUM(K7:K25)</f>
        <v>3</v>
      </c>
      <c r="L26">
        <f>14-SUM(L7:L25)</f>
        <v>3</v>
      </c>
      <c r="M26">
        <f>33-SUM(M9:M25)</f>
        <v>2</v>
      </c>
      <c r="N26">
        <f>11-SUM(N3:N25)</f>
        <v>1</v>
      </c>
      <c r="R26">
        <f>10-SUM(R4:R24)</f>
        <v>1</v>
      </c>
      <c r="T26">
        <v>3</v>
      </c>
      <c r="U26">
        <f>44-SUM(U19:U25)</f>
        <v>6</v>
      </c>
      <c r="V26">
        <f>20-SUM(V20:V25)</f>
        <v>5</v>
      </c>
      <c r="X26">
        <f>7-SUM(X22:X25)</f>
        <v>3</v>
      </c>
      <c r="AA26">
        <v>1</v>
      </c>
      <c r="AF26">
        <v>735</v>
      </c>
      <c r="AG26" s="1">
        <f t="shared" si="5"/>
        <v>0.11872146118721461</v>
      </c>
      <c r="AH26">
        <f t="shared" ref="AH26:AH34" si="6">AF26-AF25</f>
        <v>78</v>
      </c>
    </row>
    <row r="27" spans="1:34" x14ac:dyDescent="0.25">
      <c r="A27" s="18">
        <v>43917</v>
      </c>
      <c r="B27">
        <v>26</v>
      </c>
      <c r="C27">
        <v>39</v>
      </c>
      <c r="D27">
        <v>9</v>
      </c>
      <c r="E27">
        <v>14</v>
      </c>
      <c r="F27">
        <v>7</v>
      </c>
      <c r="G27">
        <v>1</v>
      </c>
      <c r="H27">
        <v>7</v>
      </c>
      <c r="I27">
        <v>1</v>
      </c>
      <c r="K27">
        <v>9</v>
      </c>
      <c r="L27">
        <v>6</v>
      </c>
      <c r="M27">
        <v>5</v>
      </c>
      <c r="N27">
        <v>2</v>
      </c>
      <c r="R27">
        <v>5</v>
      </c>
      <c r="S27">
        <v>1</v>
      </c>
      <c r="T27">
        <v>0</v>
      </c>
      <c r="U27">
        <v>3</v>
      </c>
      <c r="V27">
        <v>2</v>
      </c>
      <c r="X27">
        <v>2</v>
      </c>
      <c r="AA27">
        <v>5</v>
      </c>
      <c r="AF27">
        <v>886</v>
      </c>
      <c r="AG27" s="1">
        <f t="shared" si="5"/>
        <v>0.20544217687074831</v>
      </c>
      <c r="AH27">
        <f t="shared" si="6"/>
        <v>151</v>
      </c>
    </row>
    <row r="28" spans="1:34" x14ac:dyDescent="0.25">
      <c r="A28" s="18">
        <v>43918</v>
      </c>
      <c r="AF28">
        <v>1029</v>
      </c>
      <c r="AG28" s="1">
        <f t="shared" si="5"/>
        <v>0.16139954853273139</v>
      </c>
      <c r="AH28">
        <f t="shared" si="6"/>
        <v>143</v>
      </c>
    </row>
    <row r="29" spans="1:34" x14ac:dyDescent="0.25">
      <c r="A29" s="18">
        <v>43919</v>
      </c>
      <c r="AF29">
        <v>1139</v>
      </c>
      <c r="AG29" s="1">
        <f t="shared" si="5"/>
        <v>0.10689990281827016</v>
      </c>
      <c r="AH29">
        <f t="shared" si="6"/>
        <v>110</v>
      </c>
    </row>
    <row r="30" spans="1:34" x14ac:dyDescent="0.25">
      <c r="A30" s="18">
        <v>43920</v>
      </c>
      <c r="AF30">
        <v>1347</v>
      </c>
      <c r="AG30" s="1">
        <f t="shared" si="5"/>
        <v>0.18261633011413519</v>
      </c>
      <c r="AH30">
        <f t="shared" si="6"/>
        <v>208</v>
      </c>
    </row>
    <row r="31" spans="1:34" x14ac:dyDescent="0.25">
      <c r="A31" s="18">
        <v>43921</v>
      </c>
      <c r="B31">
        <f t="shared" ref="B31:AB31" si="7">SUM(B2:B27)</f>
        <v>156</v>
      </c>
      <c r="C31">
        <f t="shared" si="7"/>
        <v>176</v>
      </c>
      <c r="D31">
        <f t="shared" si="7"/>
        <v>64</v>
      </c>
      <c r="E31">
        <f t="shared" si="7"/>
        <v>59</v>
      </c>
      <c r="F31">
        <f t="shared" si="7"/>
        <v>50</v>
      </c>
      <c r="G31">
        <f t="shared" si="7"/>
        <v>33</v>
      </c>
      <c r="H31">
        <f t="shared" si="7"/>
        <v>49</v>
      </c>
      <c r="I31">
        <f t="shared" si="7"/>
        <v>40</v>
      </c>
      <c r="J31">
        <f t="shared" si="7"/>
        <v>13</v>
      </c>
      <c r="K31">
        <f t="shared" si="7"/>
        <v>38</v>
      </c>
      <c r="L31">
        <f t="shared" si="7"/>
        <v>20</v>
      </c>
      <c r="M31">
        <f t="shared" si="7"/>
        <v>38</v>
      </c>
      <c r="N31">
        <f t="shared" si="7"/>
        <v>13</v>
      </c>
      <c r="O31">
        <f t="shared" si="7"/>
        <v>5</v>
      </c>
      <c r="P31">
        <f t="shared" si="7"/>
        <v>3</v>
      </c>
      <c r="Q31">
        <f t="shared" si="7"/>
        <v>1</v>
      </c>
      <c r="R31">
        <f t="shared" si="7"/>
        <v>15</v>
      </c>
      <c r="S31">
        <f t="shared" si="7"/>
        <v>8</v>
      </c>
      <c r="T31">
        <f t="shared" si="7"/>
        <v>6</v>
      </c>
      <c r="U31">
        <f t="shared" si="7"/>
        <v>47</v>
      </c>
      <c r="V31">
        <f t="shared" si="7"/>
        <v>22</v>
      </c>
      <c r="W31">
        <f t="shared" si="7"/>
        <v>3</v>
      </c>
      <c r="X31">
        <f t="shared" si="7"/>
        <v>9</v>
      </c>
      <c r="Y31">
        <f t="shared" si="7"/>
        <v>1</v>
      </c>
      <c r="Z31">
        <f t="shared" si="7"/>
        <v>1</v>
      </c>
      <c r="AA31">
        <f t="shared" si="7"/>
        <v>6</v>
      </c>
      <c r="AB31">
        <f t="shared" si="7"/>
        <v>3</v>
      </c>
      <c r="AD31">
        <f>SUM(B31:AB31)</f>
        <v>879</v>
      </c>
      <c r="AF31">
        <v>1619</v>
      </c>
      <c r="AG31" s="1">
        <f t="shared" si="5"/>
        <v>0.20193021529324426</v>
      </c>
      <c r="AH31">
        <f t="shared" si="6"/>
        <v>272</v>
      </c>
    </row>
    <row r="32" spans="1:34" x14ac:dyDescent="0.25">
      <c r="A32" s="18">
        <v>43922</v>
      </c>
      <c r="AF32">
        <v>2059</v>
      </c>
      <c r="AG32" s="1">
        <f t="shared" si="5"/>
        <v>0.27177269919703523</v>
      </c>
      <c r="AH32">
        <f t="shared" si="6"/>
        <v>440</v>
      </c>
    </row>
    <row r="33" spans="1:34" x14ac:dyDescent="0.25">
      <c r="A33" s="18">
        <v>43923</v>
      </c>
      <c r="AF33">
        <v>2545</v>
      </c>
      <c r="AG33" s="1">
        <f t="shared" si="5"/>
        <v>0.23603691112190384</v>
      </c>
      <c r="AH33">
        <f t="shared" si="6"/>
        <v>486</v>
      </c>
    </row>
    <row r="34" spans="1:34" x14ac:dyDescent="0.25">
      <c r="A34" s="18">
        <v>43924</v>
      </c>
      <c r="AF34">
        <v>3108</v>
      </c>
      <c r="AG34" s="1">
        <f>(AF34-AF33)/AF33</f>
        <v>0.22121807465618862</v>
      </c>
      <c r="AH34">
        <f t="shared" si="6"/>
        <v>563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0033-C07F-45A7-A59B-7913688878B4}">
  <dimension ref="A1:G29"/>
  <sheetViews>
    <sheetView workbookViewId="0">
      <selection activeCell="H15" sqref="H15"/>
    </sheetView>
  </sheetViews>
  <sheetFormatPr defaultRowHeight="15" x14ac:dyDescent="0.25"/>
  <cols>
    <col min="1" max="1" width="10.42578125" bestFit="1" customWidth="1"/>
    <col min="2" max="2" width="10.85546875" bestFit="1" customWidth="1"/>
    <col min="3" max="3" width="10.5703125" customWidth="1"/>
    <col min="4" max="4" width="20.5703125" bestFit="1" customWidth="1"/>
    <col min="5" max="5" width="20.5703125" style="1" customWidth="1"/>
    <col min="6" max="6" width="16.140625" bestFit="1" customWidth="1"/>
  </cols>
  <sheetData>
    <row r="1" spans="1:7" x14ac:dyDescent="0.25">
      <c r="A1" t="s">
        <v>0</v>
      </c>
      <c r="B1" t="s">
        <v>137</v>
      </c>
      <c r="C1" t="s">
        <v>81</v>
      </c>
      <c r="D1" t="s">
        <v>134</v>
      </c>
      <c r="E1" s="1" t="s">
        <v>136</v>
      </c>
      <c r="F1" t="s">
        <v>135</v>
      </c>
    </row>
    <row r="2" spans="1:7" x14ac:dyDescent="0.25">
      <c r="A2" s="18">
        <v>43894</v>
      </c>
      <c r="B2">
        <v>28</v>
      </c>
      <c r="C2">
        <v>28</v>
      </c>
      <c r="D2">
        <f>(($F$2-(A2-A2))/$F$2)*C2</f>
        <v>28</v>
      </c>
      <c r="F2">
        <v>15</v>
      </c>
      <c r="G2">
        <f>D2/B2</f>
        <v>1</v>
      </c>
    </row>
    <row r="3" spans="1:7" x14ac:dyDescent="0.25">
      <c r="A3" s="18">
        <v>43895</v>
      </c>
      <c r="B3">
        <v>30</v>
      </c>
      <c r="C3">
        <f>B3-B2</f>
        <v>2</v>
      </c>
      <c r="D3">
        <f>((($F$2-(A3-A2))/$F$2)*C2)+((($F$2-(A3-A3))/$F$2)*C3)</f>
        <v>28.133333333333333</v>
      </c>
      <c r="E3" s="1">
        <f>(D3-D2)/D2</f>
        <v>4.761904761904745E-3</v>
      </c>
      <c r="G3">
        <f t="shared" ref="G3:G27" si="0">D3/B3</f>
        <v>0.93777777777777771</v>
      </c>
    </row>
    <row r="4" spans="1:7" x14ac:dyDescent="0.25">
      <c r="A4" s="18">
        <v>43896</v>
      </c>
      <c r="B4">
        <v>31</v>
      </c>
      <c r="C4">
        <f t="shared" ref="C4:C29" si="1">B4-B3</f>
        <v>1</v>
      </c>
      <c r="D4">
        <f>((($F$2-(A4-A3))/$F$2)*C3)+((($F$2-(A4-A4))/$F$2)*C4)+((($F$2-(A4-A2))/$F$2)*C2)</f>
        <v>27.133333333333333</v>
      </c>
      <c r="E4" s="1">
        <f t="shared" ref="E4:E29" si="2">(D4-D3)/D3</f>
        <v>-3.5545023696682464E-2</v>
      </c>
      <c r="G4">
        <f t="shared" si="0"/>
        <v>0.87526881720430105</v>
      </c>
    </row>
    <row r="5" spans="1:7" x14ac:dyDescent="0.25">
      <c r="A5" s="18">
        <v>43897</v>
      </c>
      <c r="B5">
        <v>34</v>
      </c>
      <c r="C5">
        <f t="shared" si="1"/>
        <v>3</v>
      </c>
      <c r="D5">
        <f>((($F$2-(A5-A4))/$F$2)*C4)+((($F$2-(A5-A5))/$F$2)*C5)+((($F$2-(A5-A3))/$F$2)*C3)+((($F$2-(A5-A2))/$F$2)*C2)</f>
        <v>28.06666666666667</v>
      </c>
      <c r="E5" s="1">
        <f t="shared" si="2"/>
        <v>3.4398034398034537E-2</v>
      </c>
      <c r="G5">
        <f t="shared" si="0"/>
        <v>0.82549019607843144</v>
      </c>
    </row>
    <row r="6" spans="1:7" x14ac:dyDescent="0.25">
      <c r="A6" s="18">
        <v>43898</v>
      </c>
      <c r="B6">
        <v>39</v>
      </c>
      <c r="C6">
        <f t="shared" si="1"/>
        <v>5</v>
      </c>
      <c r="D6">
        <f>((($F$2-(A6-A5))/$F$2)*C5)+((($F$2-(A6-A6))/$F$2)*C6)+((($F$2-(A6-A4))/$F$2)*C4)+((($F$2-(A6-A3))/$F$2)*C3)+((($F$2-(A6-A2))/$F$2)*C2)</f>
        <v>30.799999999999997</v>
      </c>
      <c r="E6" s="1">
        <f t="shared" si="2"/>
        <v>9.7387173396674354E-2</v>
      </c>
      <c r="G6">
        <f t="shared" si="0"/>
        <v>0.78974358974358971</v>
      </c>
    </row>
    <row r="7" spans="1:7" x14ac:dyDescent="0.25">
      <c r="A7" s="18">
        <v>43899</v>
      </c>
      <c r="B7">
        <v>48</v>
      </c>
      <c r="C7">
        <f t="shared" si="1"/>
        <v>9</v>
      </c>
      <c r="D7">
        <f>((($F$2-(A7-A6))/$F$2)*C6)+((($F$2-(A7-A7))/$F$2)*C7)+((($F$2-(A7-A5))/$F$2)*C5)+((($F$2-(A7-A4))/$F$2)*C4)+((($F$2-(A7-A3))/$F$2)*C3)+((($F$2-(A7-A2))/$F$2)*C2)</f>
        <v>37.200000000000003</v>
      </c>
      <c r="E7" s="1">
        <f t="shared" si="2"/>
        <v>0.207792207792208</v>
      </c>
      <c r="G7">
        <f t="shared" si="0"/>
        <v>0.77500000000000002</v>
      </c>
    </row>
    <row r="8" spans="1:7" x14ac:dyDescent="0.25">
      <c r="A8" s="18">
        <v>43900</v>
      </c>
      <c r="B8">
        <v>63</v>
      </c>
      <c r="C8">
        <f t="shared" si="1"/>
        <v>15</v>
      </c>
      <c r="D8">
        <f>((($F$2-(A8-A7))/$F$2)*C7)+((($F$2-(A8-A8))/$F$2)*C8)+((($F$2-(A8-A6))/$F$2)*C6)+((($F$2-(A8-A5))/$F$2)*C5)+((($F$2-(A8-A4))/$F$2)*C4)+((($F$2-(A8-A3))/$F$2)*C3)+((($F$2-(A8-A2))/$F$2)*C2)</f>
        <v>49</v>
      </c>
      <c r="E8" s="1">
        <f t="shared" si="2"/>
        <v>0.3172043010752687</v>
      </c>
      <c r="G8">
        <f t="shared" si="0"/>
        <v>0.77777777777777779</v>
      </c>
    </row>
    <row r="9" spans="1:7" x14ac:dyDescent="0.25">
      <c r="A9" s="18">
        <v>43901</v>
      </c>
      <c r="B9">
        <v>70</v>
      </c>
      <c r="C9">
        <f t="shared" si="1"/>
        <v>7</v>
      </c>
      <c r="D9">
        <f>((($F$2-(A9-A8))/$F$2)*C8)+((($F$2-(A9-A9))/$F$2)*C9)+((($F$2-(A9-A7))/$F$2)*C7)+((($F$2-(A9-A6))/$F$2)*C6)+((($F$2-(A9-A5))/$F$2)*C5)+((($F$2-(A9-A4))/$F$2)*C4)+((($F$2-(A9-A3))/$F$2)*C3)+((($F$2-(A9-A2))/$F$2)*C2)</f>
        <v>51.8</v>
      </c>
      <c r="E9" s="1">
        <f t="shared" si="2"/>
        <v>5.7142857142857086E-2</v>
      </c>
      <c r="G9">
        <f t="shared" si="0"/>
        <v>0.74</v>
      </c>
    </row>
    <row r="10" spans="1:7" x14ac:dyDescent="0.25">
      <c r="A10" s="18">
        <v>43902</v>
      </c>
      <c r="B10">
        <v>82</v>
      </c>
      <c r="C10">
        <f t="shared" si="1"/>
        <v>12</v>
      </c>
      <c r="D10">
        <f>((($F$2-(A10-A2))/$F$2)*C2)+((($F$2-(A10-A9))/$F$2)*C9)+((($F$2-(A10-A10))/$F$2)*C10)+((($F$2-(A10-A8))/$F$2)*C8)+((($F$2-(A10-A7))/$F$2)*C7)+((($F$2-(A10-A6))/$F$2)*C6)+((($F$2-(A10-A5))/$F$2)*C5)+((($F$2-(A10-A4))/$F$2)*C4)+((($F$2-(A10-A3))/$F$2)*C3)</f>
        <v>59.13333333333334</v>
      </c>
      <c r="E10" s="1">
        <f t="shared" si="2"/>
        <v>0.14157014157014175</v>
      </c>
      <c r="G10">
        <f t="shared" si="0"/>
        <v>0.72113821138211387</v>
      </c>
    </row>
    <row r="11" spans="1:7" x14ac:dyDescent="0.25">
      <c r="A11" s="18">
        <v>43903</v>
      </c>
      <c r="B11">
        <v>91</v>
      </c>
      <c r="C11">
        <f t="shared" si="1"/>
        <v>9</v>
      </c>
      <c r="D11">
        <f>((($F$2-(A11-A2))/$F$2)*C2)+((($F$2-(A11-A3))/$F$2)*C3)+((($F$2-(A11-A10))/$F$2)*C10)+((($F$2-(A11-A11))/$F$2)*C11)+((($F$2-(A11-A9))/$F$2)*C9)+((($F$2-(A11-A8))/$F$2)*C8)+((($F$2-(A11-A7))/$F$2)*C7)+((($F$2-(A11-A6))/$F$2)*C6)+((($F$2-(A11-A5))/$F$2)*C5)+((($F$2-(A11-A4))/$F$2)*C4)</f>
        <v>62.666666666666671</v>
      </c>
      <c r="E11" s="1">
        <f t="shared" si="2"/>
        <v>5.9751972942502778E-2</v>
      </c>
      <c r="G11">
        <f t="shared" si="0"/>
        <v>0.68864468864468875</v>
      </c>
    </row>
    <row r="12" spans="1:7" x14ac:dyDescent="0.25">
      <c r="A12" s="18">
        <v>43904</v>
      </c>
      <c r="B12">
        <v>107</v>
      </c>
      <c r="C12">
        <f t="shared" si="1"/>
        <v>16</v>
      </c>
      <c r="D12">
        <f>((($F$2-(A12-A2))/$F$2)*C2)+((($F$2-(A12-A3))/$F$2)*C3)+((($F$2-(A12-A4))/$F$2)*C4)+((($F$2-(A12-A11))/$F$2)*C11)+((($F$2-(A12-A12))/$F$2)*C12)+((($F$2-(A12-A10))/$F$2)*C10)+((($F$2-(A12-A9))/$F$2)*C9)+((($F$2-(A12-A8))/$F$2)*C8)+((($F$2-(A12-A7))/$F$2)*C7)+((($F$2-(A12-A6))/$F$2)*C6)+((($F$2-(A12-A5))/$F$2)*C5)</f>
        <v>72.599999999999994</v>
      </c>
      <c r="E12" s="1">
        <f t="shared" si="2"/>
        <v>0.15851063829787215</v>
      </c>
      <c r="G12">
        <f t="shared" si="0"/>
        <v>0.67850467289719618</v>
      </c>
    </row>
    <row r="13" spans="1:7" x14ac:dyDescent="0.25">
      <c r="A13" s="18">
        <v>43905</v>
      </c>
      <c r="B13">
        <v>113</v>
      </c>
      <c r="C13">
        <f t="shared" si="1"/>
        <v>6</v>
      </c>
      <c r="D13">
        <f>((($F$2-(A13-A2))/$F$2)*C2)+((($F$2-(A13-A3))/$F$2)*C3)+((($F$2-(A13-A4))/$F$2)*C4)+((($F$2-(A13-A5))/$F$2)*C5)+((($F$2-(A13-A12))/$F$2)*C12)+((($F$2-(A13-A13))/$F$2)*C13)+((($F$2-(A13-A11))/$F$2)*C11)+((($F$2-(A13-A10))/$F$2)*C10)+((($F$2-(A13-A9))/$F$2)*C9)+((($F$2-(A13-A8))/$F$2)*C8)+((($F$2-(A13-A7))/$F$2)*C7)+((($F$2-(A13-A6))/$F$2)*C6)</f>
        <v>71.466666666666683</v>
      </c>
      <c r="E13" s="1">
        <f t="shared" si="2"/>
        <v>-1.5610651974288039E-2</v>
      </c>
      <c r="G13">
        <f t="shared" si="0"/>
        <v>0.63244837758112105</v>
      </c>
    </row>
    <row r="14" spans="1:7" x14ac:dyDescent="0.25">
      <c r="A14" s="18">
        <v>43906</v>
      </c>
      <c r="B14">
        <v>127</v>
      </c>
      <c r="C14">
        <f t="shared" si="1"/>
        <v>14</v>
      </c>
      <c r="D14">
        <f>((($F$2-(A14-A2))/$F$2)*C2)+((($F$2-(A14-A3))/$F$2)*C3)+((($F$2-(A14-A4))/$F$2)*C4)+((($F$2-(A14-A5))/$F$2)*C5)+((($F$2-(A14-A6))/$F$2)*C6)+((($F$2-(A14-A13))/$F$2)*C13)+((($F$2-(A14-A14))/$F$2)*C14)+((($F$2-(A14-A12))/$F$2)*C12)+((($F$2-(A14-A11))/$F$2)*C11)+((($F$2-(A14-A10))/$F$2)*C10)+((($F$2-(A14-A9))/$F$2)*C9)+((($F$2-(A14-A8))/$F$2)*C8)+((($F$2-(A14-A7))/$F$2)*C7)</f>
        <v>77.933333333333337</v>
      </c>
      <c r="E14" s="1">
        <f t="shared" si="2"/>
        <v>9.0485074626865475E-2</v>
      </c>
      <c r="G14">
        <f t="shared" si="0"/>
        <v>0.6136482939632546</v>
      </c>
    </row>
    <row r="15" spans="1:7" x14ac:dyDescent="0.25">
      <c r="A15" s="18">
        <v>43907</v>
      </c>
      <c r="B15">
        <v>146</v>
      </c>
      <c r="C15">
        <f t="shared" si="1"/>
        <v>19</v>
      </c>
      <c r="D15">
        <f>((($F$2-(A15-A2))/$F$2)*C2)+((($F$2-(A15-A3))/$F$2)*C3)+((($F$2-(A15-A4))/$F$2)*C4)+((($F$2-(A15-A5))/$F$2)*C5)+((($F$2-(A15-A6))/$F$2)*C6)+((($F$2-(A15-A7))/$F$2)*C7)+((($F$2-(A15-A14))/$F$2)*C14)+((($F$2-(A15-A15))/$F$2)*C15)+((($F$2-(A15-A13))/$F$2)*C13)+((($F$2-(A15-A12))/$F$2)*C12)+((($F$2-(A15-A11))/$F$2)*C11)+((($F$2-(A15-A10))/$F$2)*C10)+((($F$2-(A15-A9))/$F$2)*C9)+((($F$2-(A15-A8))/$F$2)*C8)</f>
        <v>88.466666666666669</v>
      </c>
      <c r="E15" s="1">
        <f t="shared" si="2"/>
        <v>0.13515825491873393</v>
      </c>
      <c r="G15">
        <f t="shared" si="0"/>
        <v>0.6059360730593607</v>
      </c>
    </row>
    <row r="16" spans="1:7" x14ac:dyDescent="0.25">
      <c r="A16" s="18">
        <v>43908</v>
      </c>
      <c r="B16">
        <v>171</v>
      </c>
      <c r="C16">
        <f t="shared" si="1"/>
        <v>25</v>
      </c>
      <c r="D16">
        <f>((($F$2-(A16-A2))/$F$2)*C2)+((($F$2-(A16-A3))/$F$2)*C3)+((($F$2-(A16-A4))/$F$2)*C4)+((($F$2-(A16-A5))/$F$2)*C5)+((($F$2-(A16-A6))/$F$2)*C6)+((($F$2-(A16-A7))/$F$2)*C7)+((($F$2-(A16-A8))/$F$2)*C8)+((($F$2-(A16-A15))/$F$2)*C15)+((($F$2-(A16-A16))/$F$2)*C16)+((($F$2-(A16-A14))/$F$2)*C14)+((($F$2-(A16-A13))/$F$2)*C13)+((($F$2-(A16-A12))/$F$2)*C12)+((($F$2-(A16-A11))/$F$2)*C11)+((($F$2-(A16-A10))/$F$2)*C10)+((($F$2-(A16-A9))/$F$2)*C9)</f>
        <v>103.73333333333333</v>
      </c>
      <c r="E16" s="1">
        <f t="shared" si="2"/>
        <v>0.17256970610399397</v>
      </c>
      <c r="G16">
        <f t="shared" si="0"/>
        <v>0.60662768031189085</v>
      </c>
    </row>
    <row r="17" spans="1:7" x14ac:dyDescent="0.25">
      <c r="A17" s="18">
        <v>43909</v>
      </c>
      <c r="B17">
        <v>199</v>
      </c>
      <c r="C17">
        <f t="shared" si="1"/>
        <v>28</v>
      </c>
      <c r="D17">
        <f>((($F$2-(A17-A2))/$F$2)*C2)+((($F$2-(A17-A3))/$F$2)*C3)+((($F$2-(A17-A4))/$F$2)*C4)+((($F$2-(A17-A5))/$F$2)*C5)+((($F$2-(A17-A6))/$F$2)*C6)+((($F$2-(A17-A7))/$F$2)*C7)+((($F$2-(A17-A8))/$F$2)*C8)+((($F$2-(A17-A9))/$F$2)*C9)+((($F$2-(A17-A16))/$F$2)*C16)+((($F$2-(A17-A17))/$F$2)*C17)+((($F$2-(A17-A15))/$F$2)*C15)+((($F$2-(A17-A14))/$F$2)*C14)+((($F$2-(A17-A13))/$F$2)*C13)+((($F$2-(A17-A12))/$F$2)*C12)+((($F$2-(A17-A11))/$F$2)*C11)+((($F$2-(A17-A10))/$F$2)*C10)</f>
        <v>120.33333333333336</v>
      </c>
      <c r="E17" s="1">
        <f t="shared" si="2"/>
        <v>0.16002570694087426</v>
      </c>
      <c r="G17">
        <f t="shared" si="0"/>
        <v>0.60469011725293143</v>
      </c>
    </row>
    <row r="18" spans="1:7" x14ac:dyDescent="0.25">
      <c r="A18" s="18">
        <v>43910</v>
      </c>
      <c r="B18">
        <v>258</v>
      </c>
      <c r="C18">
        <f t="shared" si="1"/>
        <v>59</v>
      </c>
      <c r="D18">
        <f>((($F$2-(A18-A2))/$F$2)*C2)+((($F$2-(A18-A3))/$F$2)*C3)+((($F$2-(A18-A4))/$F$2)*C4)+((($F$2-(A18-A5))/$F$2)*C5)+((($F$2-(A18-A6))/$F$2)*C6)+((($F$2-(A18-A7))/$F$2)*C7)+((($F$2-(A18-A8))/$F$2)*C8)+((($F$2-(A18-A9))/$F$2)*C9)+((($F$2-(A18-A10))/$F$2)*C10)+((($F$2-(A18-A17))/$F$2)*C17)+((($F$2-(A18-A18))/$F$2)*C18)+((($F$2-(A18-A16))/$F$2)*C16)+((($F$2-(A18-A15))/$F$2)*C15)+((($F$2-(A18-A14))/$F$2)*C14)+((($F$2-(A18-A13))/$F$2)*C13)+((($F$2-(A18-A12))/$F$2)*C12)+((($F$2-(A18-A11))/$F$2)*C11)</f>
        <v>166.06666666666669</v>
      </c>
      <c r="E18" s="1">
        <f t="shared" si="2"/>
        <v>0.38005540166204982</v>
      </c>
      <c r="G18">
        <f t="shared" si="0"/>
        <v>0.64366925064599489</v>
      </c>
    </row>
    <row r="19" spans="1:7" x14ac:dyDescent="0.25">
      <c r="A19" s="18">
        <v>43911</v>
      </c>
      <c r="B19">
        <v>334</v>
      </c>
      <c r="C19">
        <f t="shared" si="1"/>
        <v>76</v>
      </c>
      <c r="D19">
        <f>((($F$2-(A19-A2))/$F$2)*C2)+((($F$2-(A19-A3))/$F$2)*C3)+((($F$2-(A19-A4))/$F$2)*C4)+((($F$2-(A19-A5))/$F$2)*C5)+((($F$2-(A19-A6))/$F$2)*C6)+((($F$2-(A19-A7))/$F$2)*C7)+((($F$2-(A19-A8))/$F$2)*C8)+((($F$2-(A19-A9))/$F$2)*C9)+((($F$2-(A19-A10))/$F$2)*C10)+((($F$2-(A19-A11))/$F$2)*C11)+((($F$2-(A19-A18))/$F$2)*C18)+((($F$2-(A19-A19))/$F$2)*C19)+((($F$2-(A19-A17))/$F$2)*C17)+((($F$2-(A19-A16))/$F$2)*C16)+((($F$2-(A19-A15))/$F$2)*C15)+((($F$2-(A19-A14))/$F$2)*C14)+((($F$2-(A19-A13))/$F$2)*C13)+((($F$2-(A19-A12))/$F$2)*C12)</f>
        <v>224.86666666666665</v>
      </c>
      <c r="E19" s="1">
        <f t="shared" si="2"/>
        <v>0.35407466880770744</v>
      </c>
      <c r="G19">
        <f t="shared" si="0"/>
        <v>0.67325349301397197</v>
      </c>
    </row>
    <row r="20" spans="1:7" x14ac:dyDescent="0.25">
      <c r="A20" s="18">
        <v>43912</v>
      </c>
      <c r="B20">
        <v>403</v>
      </c>
      <c r="C20">
        <f t="shared" si="1"/>
        <v>69</v>
      </c>
      <c r="D20">
        <f>((($F$2-(A20-A2))/$F$2)*C2)+((($F$2-(A20-A3))/$F$2)*C3)+((($F$2-(A20-A4))/$F$2)*C4)+((($F$2-(A20-A5))/$F$2)*C5)+((($F$2-(A20-A6))/$F$2)*C6)+((($F$2-(A20-A7))/$F$2)*C7)+((($F$2-(A20-A8))/$F$2)*C8)+((($F$2-(A20-A9))/$F$2)*C9)+((($F$2-(A20-A10))/$F$2)*C10)+((($F$2-(A20-A11))/$F$2)*C11)+((($F$2-(A20-A12))/$F$2)*C12)+((($F$2-(A20-A19))/$F$2)*C19)+((($F$2-(A20-A20))/$F$2)*C20)+((($F$2-(A20-A18))/$F$2)*C18)+((($F$2-(A20-A17))/$F$2)*C17)+((($F$2-(A20-A16))/$F$2)*C16)+((($F$2-(A20-A15))/$F$2)*C15)+((($F$2-(A20-A14))/$F$2)*C14)+((($F$2-(A20-A13))/$F$2)*C13)</f>
        <v>271.59999999999997</v>
      </c>
      <c r="E20" s="1">
        <f t="shared" si="2"/>
        <v>0.20782686036169579</v>
      </c>
      <c r="G20">
        <f t="shared" si="0"/>
        <v>0.67394540942928027</v>
      </c>
    </row>
    <row r="21" spans="1:7" x14ac:dyDescent="0.25">
      <c r="A21" s="18">
        <v>43913</v>
      </c>
      <c r="B21">
        <v>505</v>
      </c>
      <c r="C21">
        <f t="shared" si="1"/>
        <v>102</v>
      </c>
      <c r="D21">
        <f>((($F$2-(A21-A2))/$F$2)*C2)+((($F$2-(A21-A3))/$F$2)*C3)+((($F$2-(A21-A4))/$F$2)*C4)+((($F$2-(A21-A5))/$F$2)*C5)+((($F$2-(A21-A6))/$F$2)*C6)+((($F$2-(A21-A7))/$F$2)*C7)+((($F$2-(A21-A8))/$F$2)*C8)+((($F$2-(A21-A9))/$F$2)*C9)+((($F$2-(A21-A10))/$F$2)*C10)+((($F$2-(A21-A11))/$F$2)*C11)+((($F$2-(A21-A12))/$F$2)*C12)+((($F$2-(A21-A13))/$F$2)*C13)+((($F$2-(A21-A20))/$F$2)*C20)+((($F$2-(A21-A21))/$F$2)*C21)+((($F$2-(A21-A19))/$F$2)*C19)+((($F$2-(A21-A18))/$F$2)*C18)+((($F$2-(A21-A17))/$F$2)*C17)+((($F$2-(A21-A16))/$F$2)*C16)+((($F$2-(A21-A15))/$F$2)*C15)+((($F$2-(A21-A14))/$F$2)*C14)</f>
        <v>346.73333333333335</v>
      </c>
      <c r="E21" s="1">
        <f t="shared" si="2"/>
        <v>0.27663230240549852</v>
      </c>
      <c r="G21">
        <f t="shared" si="0"/>
        <v>0.68660066006600662</v>
      </c>
    </row>
    <row r="22" spans="1:7" x14ac:dyDescent="0.25">
      <c r="A22" s="18">
        <v>43914</v>
      </c>
      <c r="B22">
        <v>571</v>
      </c>
      <c r="C22">
        <f t="shared" si="1"/>
        <v>66</v>
      </c>
      <c r="D22">
        <f>((($F$2-(A22-A2))/$F$2)*C2)+((($F$2-(A22-A3))/$F$2)*C3)+((($F$2-(A22-A4))/$F$2)*C4)+((($F$2-(A22-A5))/$F$2)*C5)+((($F$2-(A22-A6))/$F$2)*C6)+((($F$2-(A22-A7))/$F$2)*C7)+((($F$2-(A22-A8))/$F$2)*C8)+((($F$2-(A22-A9))/$F$2)*C9)+((($F$2-(A22-A10))/$F$2)*C10)+((($F$2-(A22-A11))/$F$2)*C11)+((($F$2-(A22-A12))/$F$2)*C12)+((($F$2-(A22-A13))/$F$2)*C13)+((($F$2-(A22-A14))/$F$2)*C14)+((($F$2-(A22-A21))/$F$2)*C21)+((($F$2-(A22-A22))/$F$2)*C22)+((($F$2-(A22-A20))/$F$2)*C20)+((($F$2-(A22-A19))/$F$2)*C19)+((($F$2-(A22-A18))/$F$2)*C18)+((($F$2-(A22-A17))/$F$2)*C17)+((($F$2-(A22-A16))/$F$2)*C16)+((($F$2-(A22-A15))/$F$2)*C15)</f>
        <v>379.06666666666666</v>
      </c>
      <c r="E22" s="1">
        <f t="shared" si="2"/>
        <v>9.3251297827340832E-2</v>
      </c>
      <c r="G22">
        <f t="shared" si="0"/>
        <v>0.66386456509048453</v>
      </c>
    </row>
    <row r="23" spans="1:7" x14ac:dyDescent="0.25">
      <c r="A23" s="18">
        <v>43915</v>
      </c>
      <c r="B23">
        <v>657</v>
      </c>
      <c r="C23">
        <f t="shared" si="1"/>
        <v>86</v>
      </c>
      <c r="D23">
        <f>((($F$2-(A23-A2))/$F$2)*C2)+((($F$2-(A23-A3))/$F$2)*C3)+((($F$2-(A23-A4))/$F$2)*C4)+((($F$2-(A23-A5))/$F$2)*C5)+((($F$2-(A23-A6))/$F$2)*C6)+((($F$2-(A23-A7))/$F$2)*C7)+((($F$2-(A23-A8))/$F$2)*C8)+((($F$2-(A23-A9))/$F$2)*C9)+((($F$2-(A23-A10))/$F$2)*C10)+((($F$2-(A23-A11))/$F$2)*C11)+((($F$2-(A23-A12))/$F$2)*C12)+((($F$2-(A23-A13))/$F$2)*C13)+((($F$2-(A23-A14))/$F$2)*C14)+((($F$2-(A23-A15))/$F$2)*C15)+((($F$2-(A23-A22))/$F$2)*C22)+((($F$2-(A23-A23))/$F$2)*C23)+((($F$2-(A23-A21))/$F$2)*C21)+((($F$2-(A23-A20))/$F$2)*C20)+((($F$2-(A23-A19))/$F$2)*C19)+((($F$2-(A23-A18))/$F$2)*C18)+((($F$2-(A23-A17))/$F$2)*C17)+((($F$2-(A23-A16))/$F$2)*C16)</f>
        <v>427</v>
      </c>
      <c r="E23" s="1">
        <f t="shared" si="2"/>
        <v>0.12645093211396413</v>
      </c>
      <c r="G23">
        <f t="shared" si="0"/>
        <v>0.64992389649923898</v>
      </c>
    </row>
    <row r="24" spans="1:7" x14ac:dyDescent="0.25">
      <c r="A24" s="18">
        <v>43916</v>
      </c>
      <c r="B24">
        <v>735</v>
      </c>
      <c r="C24">
        <f t="shared" si="1"/>
        <v>78</v>
      </c>
      <c r="D24">
        <f>((($F$2-(A24-A2))/$F$2)*C2)+((($F$2-(A24-A3))/$F$2)*C3)+((($F$2-(A24-A4))/$F$2)*C4)+((($F$2-(A24-A5))/$F$2)*C5)+((($F$2-(A24-A6))/$F$2)*C6)+((($F$2-(A24-A7))/$F$2)*C7)+((($F$2-(A24-A8))/$F$2)*C8)+((($F$2-(A24-A9))/$F$2)*C9)+((($F$2-(A24-A10))/$F$2)*C10)+((($F$2-(A24-A11))/$F$2)*C11)+((($F$2-(A24-A12))/$F$2)*C12)+((($F$2-(A24-A13))/$F$2)*C13)+((($F$2-(A24-A14))/$F$2)*C14)+((($F$2-(A24-A15))/$F$2)*C15)+((($F$2-(A24-A16))/$F$2)*C16)+((($F$2-(A24-A23))/$F$2)*C23)+((($F$2-(A24-A24))/$F$2)*C24)+((($F$2-(A24-A22))/$F$2)*C22)+((($F$2-(A24-A21))/$F$2)*C21)+((($F$2-(A24-A20))/$F$2)*C20)+((($F$2-(A24-A19))/$F$2)*C19)+((($F$2-(A24-A18))/$F$2)*C18)+((($F$2-(A24-A17))/$F$2)*C17)</f>
        <v>461.20000000000005</v>
      </c>
      <c r="E24" s="1">
        <f t="shared" si="2"/>
        <v>8.0093676814988399E-2</v>
      </c>
      <c r="G24">
        <f t="shared" si="0"/>
        <v>0.62748299319727896</v>
      </c>
    </row>
    <row r="25" spans="1:7" x14ac:dyDescent="0.25">
      <c r="A25" s="18">
        <v>43917</v>
      </c>
      <c r="B25">
        <v>886</v>
      </c>
      <c r="C25">
        <f t="shared" si="1"/>
        <v>151</v>
      </c>
      <c r="D25">
        <f>((($F$2-(A25-A2))/$F$2)*C2)+((($F$2-(A25-A3))/$F$2)*C3)+((($F$2-(A25-A4))/$F$2)*C4)+((($F$2-(A25-A5))/$F$2)*C5)+((($F$2-(A25-A6))/$F$2)*C6)+((($F$2-(A25-A7))/$F$2)*C7)+((($F$2-(A25-A8))/$F$2)*C8)+((($F$2-(A25-A9))/$F$2)*C9)+((($F$2-(A25-A10))/$F$2)*C10)+((($F$2-(A25-A11))/$F$2)*C11)+((($F$2-(A25-A12))/$F$2)*C12)+((($F$2-(A25-A13))/$F$2)*C13)+((($F$2-(A25-A14))/$F$2)*C14)+((($F$2-(A25-A15))/$F$2)*C15)+((($F$2-(A25-A16))/$F$2)*C16)+((($F$2-(A25-A17))/$F$2)*C17)+((($F$2-(A25-A24))/$F$2)*C24)+((($F$2-(A25-A25))/$F$2)*C25)+((($F$2-(A25-A23))/$F$2)*C23)+((($F$2-(A25-A22))/$F$2)*C22)+((($F$2-(A25-A21))/$F$2)*C21)+((($F$2-(A25-A20))/$F$2)*C20)+((($F$2-(A25-A19))/$F$2)*C19)+((($F$2-(A25-A18))/$F$2)*C18)</f>
        <v>563.20000000000005</v>
      </c>
      <c r="E25" s="1">
        <f t="shared" si="2"/>
        <v>0.22116218560277534</v>
      </c>
      <c r="G25">
        <f t="shared" si="0"/>
        <v>0.63566591422121899</v>
      </c>
    </row>
    <row r="26" spans="1:7" x14ac:dyDescent="0.25">
      <c r="A26" s="18">
        <v>43918</v>
      </c>
      <c r="B26">
        <v>1029</v>
      </c>
      <c r="C26">
        <f t="shared" si="1"/>
        <v>143</v>
      </c>
      <c r="D26">
        <f>((($F$2-(A26-A2))/$F$2)*C2)+((($F$2-(A26-A3))/$F$2)*C3)+((($F$2-(A26-A4))/$F$2)*C4)+((($F$2-(A26-A5))/$F$2)*C5)+((($F$2-(A26-A6))/$F$2)*C6)+((($F$2-(A26-A7))/$F$2)*C7)+((($F$2-(A26-A8))/$F$2)*C8)+((($F$2-(A26-A9))/$F$2)*C9)+((($F$2-(A26-A10))/$F$2)*C10)+((($F$2-(A26-A11))/$F$2)*C11)+((($F$2-(A26-A12))/$F$2)*C12)+((($F$2-(A26-A13))/$F$2)*C13)+((($F$2-(A26-A14))/$F$2)*C14)+((($F$2-(A26-A15))/$F$2)*C15)+((($F$2-(A26-A16))/$F$2)*C16)+((($F$2-(A26-A17))/$F$2)*C17)+((($F$2-(A26-A18))/$F$2)*C18)+((($F$2-(A26-A25))/$F$2)*C25)+((($F$2-(A26-A26))/$F$2)*C26)+((($F$2-(A26-A24))/$F$2)*C24)+((($F$2-(A26-A23))/$F$2)*C23)+((($F$2-(A26-A22))/$F$2)*C22)+((($F$2-(A26-A21))/$F$2)*C21)+((($F$2-(A26-A20))/$F$2)*C20)+((($F$2-(A26-A19))/$F$2)*C19)</f>
        <v>647.13333333333333</v>
      </c>
      <c r="E26" s="1">
        <f t="shared" si="2"/>
        <v>0.14902935606060597</v>
      </c>
      <c r="G26">
        <f t="shared" si="0"/>
        <v>0.62889536767087784</v>
      </c>
    </row>
    <row r="27" spans="1:7" x14ac:dyDescent="0.25">
      <c r="A27" s="18">
        <v>43919</v>
      </c>
      <c r="B27">
        <v>1139</v>
      </c>
      <c r="C27">
        <f t="shared" si="1"/>
        <v>110</v>
      </c>
      <c r="D27">
        <f>((($F$2-(A27-A2))/$F$2)*C2)+((($F$2-(A27-A3))/$F$2)*C3)+((($F$2-(A27-A4))/$F$2)*C4)+((($F$2-(A27-A5))/$F$2)*C5)+((($F$2-(A27-A6))/$F$2)*C6)+((($F$2-(A27-A7))/$F$2)*C7)+((($F$2-(A27-A8))/$F$2)*C8)+((($F$2-(A27-A9))/$F$2)*C9)+((($F$2-(A27-A10))/$F$2)*C10)+((($F$2-(A27-A11))/$F$2)*C11)+((($F$2-(A27-A12))/$F$2)*C12)+((($F$2-(A27-A13))/$F$2)*C13)+((($F$2-(A27-A14))/$F$2)*C14)+((($F$2-(A27-A15))/$F$2)*C15)+((($F$2-(A27-A16))/$F$2)*C16)+((($F$2-(A27-A17))/$F$2)*C17)+((($F$2-(A27-A18))/$F$2)*C18)+((($F$2-(A27-A19))/$F$2)*C19)+((($F$2-(A27-A26))/$F$2)*C26)+((($F$2-(A27-A27))/$F$2)*C27)+((($F$2-(A27-A25))/$F$2)*C25)+((($F$2-(A27-A24))/$F$2)*C24)+((($F$2-(A27-A23))/$F$2)*C23)+((($F$2-(A27-A22))/$F$2)*C22)+((($F$2-(A27-A21))/$F$2)*C21)+((($F$2-(A27-A20))/$F$2)*C20)</f>
        <v>688.5333333333333</v>
      </c>
      <c r="E27" s="1">
        <f t="shared" si="2"/>
        <v>6.397445142680537E-2</v>
      </c>
      <c r="G27">
        <f t="shared" si="0"/>
        <v>0.60450687737781672</v>
      </c>
    </row>
    <row r="28" spans="1:7" x14ac:dyDescent="0.25">
      <c r="A28" s="18">
        <v>43920</v>
      </c>
      <c r="B28">
        <v>1349</v>
      </c>
      <c r="C28">
        <f t="shared" si="1"/>
        <v>210</v>
      </c>
      <c r="D28">
        <f>((($F$2-(A28-A2))/$F$2)*C2)+((($F$2-(A28-A3))/$F$2)*C3)+((($F$2-(A28-A4))/$F$2)*C4)+((($F$2-(A28-A5))/$F$2)*C5)+((($F$2-(A28-A6))/$F$2)*C6)+((($F$2-(A28-A7))/$F$2)*C7)+((($F$2-(A28-A8))/$F$2)*C8)+((($F$2-(A28-A9))/$F$2)*C9)+((($F$2-(A28-A10))/$F$2)*C10)+((($F$2-(A28-A11))/$F$2)*C11)+((($F$2-(A28-A12))/$F$2)*C12)+((($F$2-(A28-A13))/$F$2)*C13)+((($F$2-(A28-A14))/$F$2)*C14)+((($F$2-(A28-A15))/$F$2)*C15)+((($F$2-(A28-A16))/$F$2)*C16)+((($F$2-(A28-A17))/$F$2)*C17)+((($F$2-(A28-A18))/$F$2)*C18)+((($F$2-(A28-A19))/$F$2)*C19)+((($F$2-(A28-A20))/$F$2)*C20)+((($F$2-(A28-A27))/$F$2)*C27)+((($F$2-(A28-A28))/$F$2)*C28)+((($F$2-(A28-A26))/$F$2)*C26)+((($F$2-(A28-A25))/$F$2)*C25)+((($F$2-(A28-A24))/$F$2)*C24)+((($F$2-(A28-A23))/$F$2)*C23)+((($F$2-(A28-A22))/$F$2)*C22)+((($F$2-(A28-A21))/$F$2)*C21)</f>
        <v>822.6</v>
      </c>
      <c r="E28" s="1">
        <f t="shared" si="2"/>
        <v>0.19471340046475608</v>
      </c>
      <c r="G28">
        <f>D28/B28</f>
        <v>0.60978502594514461</v>
      </c>
    </row>
    <row r="29" spans="1:7" x14ac:dyDescent="0.25">
      <c r="A29" s="18">
        <v>43921</v>
      </c>
      <c r="B29">
        <v>1619</v>
      </c>
      <c r="C29">
        <f t="shared" si="1"/>
        <v>270</v>
      </c>
      <c r="D29">
        <f>((($F$2-(A29-A2))/$F$2)*C2)+((($F$2-(A29-A3))/$F$2)*C3)+((($F$2-(A29-A4))/$F$2)*C4)+((($F$2-(A29-A5))/$F$2)*C5)+((($F$2-(A29-A6))/$F$2)*C6)+((($F$2-(A29-A7))/$F$2)*C7)+((($F$2-(A29-A8))/$F$2)*C8)+((($F$2-(A29-A9))/$F$2)*C9)+((($F$2-(A29-A10))/$F$2)*C10)+((($F$2-(A29-A11))/$F$2)*C11)+((($F$2-(A29-A12))/$F$2)*C12)+((($F$2-(A29-A13))/$F$2)*C13)+((($F$2-(A29-A14))/$F$2)*C14)+((($F$2-(A29-A15))/$F$2)*C15)+((($F$2-(A29-A16))/$F$2)*C16)+((($F$2-(A29-A17))/$F$2)*C17)+((($F$2-(A29-A18))/$F$2)*C18)+((($F$2-(A29-A19))/$F$2)*C19)+((($F$2-(A29-A20))/$F$2)*C20)+((($F$2-(A29-A21))/$F$2)*C21)+((($F$2-(A29-A28))/$F$2)*C28)+((($F$2-(A29-A29))/$F$2)*C29)+((($F$2-(A29-A27))/$F$2)*C27)+((($F$2-(A29-A26))/$F$2)*C26)+((($F$2-(A29-A25))/$F$2)*C25)+((($F$2-(A29-A24))/$F$2)*C24)+((($F$2-(A29-A23))/$F$2)*C23)+((($F$2-(A29-A22))/$F$2)*C22)</f>
        <v>1002.6666666666667</v>
      </c>
      <c r="E29" s="1">
        <f t="shared" si="2"/>
        <v>0.21889942458870254</v>
      </c>
      <c r="G29">
        <f>D29/B29</f>
        <v>0.6193123327156681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13162-C3F1-4395-ADA5-D35F6E3AAD56}">
  <dimension ref="A1:O38"/>
  <sheetViews>
    <sheetView workbookViewId="0">
      <selection activeCell="F4" sqref="F4"/>
    </sheetView>
  </sheetViews>
  <sheetFormatPr defaultRowHeight="15" x14ac:dyDescent="0.25"/>
  <cols>
    <col min="1" max="1" width="27.5703125" bestFit="1" customWidth="1"/>
    <col min="3" max="3" width="12" bestFit="1" customWidth="1"/>
    <col min="12" max="12" width="12" bestFit="1" customWidth="1"/>
  </cols>
  <sheetData>
    <row r="1" spans="1:15" s="11" customFormat="1" x14ac:dyDescent="0.25">
      <c r="A1" s="11" t="s">
        <v>114</v>
      </c>
      <c r="B1" s="11" t="s">
        <v>55</v>
      </c>
      <c r="C1" s="11" t="s">
        <v>133</v>
      </c>
    </row>
    <row r="2" spans="1:15" x14ac:dyDescent="0.25">
      <c r="A2" t="s">
        <v>128</v>
      </c>
      <c r="B2" s="20">
        <v>1.0000000019230768</v>
      </c>
      <c r="C2">
        <f>B2/$D$2</f>
        <v>0.82711283421675463</v>
      </c>
      <c r="D2" s="20">
        <f>'5DayR0'!B7</f>
        <v>1.2090248882065044</v>
      </c>
    </row>
    <row r="3" spans="1:15" x14ac:dyDescent="0.25">
      <c r="A3" t="s">
        <v>118</v>
      </c>
      <c r="B3" s="20">
        <v>1.4864775507253671</v>
      </c>
      <c r="C3">
        <f t="shared" ref="C3:C38" si="0">B3/$D$2</f>
        <v>1.2294846576156446</v>
      </c>
    </row>
    <row r="4" spans="1:15" x14ac:dyDescent="0.25">
      <c r="A4" t="s">
        <v>126</v>
      </c>
      <c r="B4">
        <v>1</v>
      </c>
      <c r="C4">
        <f t="shared" si="0"/>
        <v>0.82711283262615309</v>
      </c>
      <c r="F4">
        <f>_xlfn.PERCENTILE.INC(B2:B38, 0.95)</f>
        <v>1.513427377685078</v>
      </c>
    </row>
    <row r="5" spans="1:15" x14ac:dyDescent="0.25">
      <c r="A5" t="s">
        <v>125</v>
      </c>
      <c r="B5">
        <v>1.7489331068500391</v>
      </c>
      <c r="C5">
        <f t="shared" si="0"/>
        <v>1.4465650160803945</v>
      </c>
    </row>
    <row r="6" spans="1:15" x14ac:dyDescent="0.25">
      <c r="A6" t="s">
        <v>106</v>
      </c>
      <c r="B6">
        <v>1.1732867989861402</v>
      </c>
      <c r="C6">
        <f t="shared" si="0"/>
        <v>0.97044056779229837</v>
      </c>
      <c r="J6">
        <v>0.20100000000000001</v>
      </c>
    </row>
    <row r="7" spans="1:15" x14ac:dyDescent="0.25">
      <c r="A7" t="s">
        <v>101</v>
      </c>
      <c r="B7">
        <v>1.0813556027713789</v>
      </c>
      <c r="C7">
        <f t="shared" si="0"/>
        <v>0.89440309568439647</v>
      </c>
    </row>
    <row r="8" spans="1:15" ht="15.75" thickBot="1" x14ac:dyDescent="0.3">
      <c r="A8" t="s">
        <v>102</v>
      </c>
      <c r="B8">
        <v>1.0294457610775574</v>
      </c>
      <c r="C8">
        <f t="shared" si="0"/>
        <v>0.85146779947984452</v>
      </c>
      <c r="J8">
        <f>(EXP(J6*N13)*O9*130000000)/((O9*EXP(J6*N13))+130000000)</f>
        <v>2545.0011639277618</v>
      </c>
      <c r="M8" s="56" t="s">
        <v>55</v>
      </c>
      <c r="N8" s="56" t="s">
        <v>188</v>
      </c>
      <c r="O8" s="56" t="s">
        <v>189</v>
      </c>
    </row>
    <row r="9" spans="1:15" ht="15.75" thickTop="1" x14ac:dyDescent="0.25">
      <c r="A9" t="s">
        <v>132</v>
      </c>
      <c r="B9">
        <v>1</v>
      </c>
      <c r="C9">
        <f t="shared" si="0"/>
        <v>0.82711283262615309</v>
      </c>
      <c r="M9" s="61">
        <f>((LN(130000000/((1/(O13/(O9*130000000)))-1)))/4)+1</f>
        <v>1.2009949956813144</v>
      </c>
      <c r="N9" s="57">
        <v>0</v>
      </c>
      <c r="O9" s="57">
        <v>1139</v>
      </c>
    </row>
    <row r="10" spans="1:15" x14ac:dyDescent="0.25">
      <c r="A10" t="s">
        <v>127</v>
      </c>
      <c r="B10">
        <v>1</v>
      </c>
      <c r="C10">
        <f t="shared" si="0"/>
        <v>0.82711283262615309</v>
      </c>
      <c r="L10" s="23"/>
      <c r="M10" s="62"/>
      <c r="N10" s="58">
        <v>1</v>
      </c>
      <c r="O10" s="58">
        <v>1347</v>
      </c>
    </row>
    <row r="11" spans="1:15" x14ac:dyDescent="0.25">
      <c r="A11" t="s">
        <v>91</v>
      </c>
      <c r="B11">
        <v>1.3439829011340918</v>
      </c>
      <c r="C11">
        <f t="shared" si="0"/>
        <v>1.1116255043581338</v>
      </c>
      <c r="L11" s="23"/>
      <c r="M11" s="62"/>
      <c r="N11" s="58">
        <v>2</v>
      </c>
      <c r="O11" s="58">
        <v>1619</v>
      </c>
    </row>
    <row r="12" spans="1:15" x14ac:dyDescent="0.25">
      <c r="A12" t="s">
        <v>109</v>
      </c>
      <c r="B12">
        <v>1.045580391506181</v>
      </c>
      <c r="C12">
        <f t="shared" si="0"/>
        <v>0.8648129593570395</v>
      </c>
      <c r="L12" s="23"/>
      <c r="M12" s="62"/>
      <c r="N12" s="58">
        <v>3</v>
      </c>
      <c r="O12" s="58">
        <v>2059</v>
      </c>
    </row>
    <row r="13" spans="1:15" x14ac:dyDescent="0.25">
      <c r="A13" t="s">
        <v>103</v>
      </c>
      <c r="B13">
        <v>1.0763454149976857</v>
      </c>
      <c r="C13">
        <f t="shared" si="0"/>
        <v>0.89025910508290806</v>
      </c>
      <c r="L13" s="23"/>
      <c r="M13" s="63"/>
      <c r="N13" s="24">
        <v>4</v>
      </c>
      <c r="O13" s="24">
        <v>2545</v>
      </c>
    </row>
    <row r="14" spans="1:15" x14ac:dyDescent="0.25">
      <c r="A14" t="s">
        <v>89</v>
      </c>
      <c r="B14">
        <v>1.0867177386809781</v>
      </c>
      <c r="C14">
        <f t="shared" si="0"/>
        <v>0.89883818710551144</v>
      </c>
    </row>
    <row r="15" spans="1:15" x14ac:dyDescent="0.25">
      <c r="A15" t="s">
        <v>121</v>
      </c>
      <c r="B15">
        <v>1.1732867989861402</v>
      </c>
      <c r="C15">
        <f t="shared" si="0"/>
        <v>0.97044056779229837</v>
      </c>
    </row>
    <row r="16" spans="1:15" x14ac:dyDescent="0.25">
      <c r="A16" t="s">
        <v>117</v>
      </c>
      <c r="B16">
        <v>1.106416956799906</v>
      </c>
      <c r="C16">
        <f t="shared" si="0"/>
        <v>0.91513166320437833</v>
      </c>
    </row>
    <row r="17" spans="1:3" x14ac:dyDescent="0.25">
      <c r="A17" t="s">
        <v>130</v>
      </c>
      <c r="B17">
        <v>1.1732867989861402</v>
      </c>
      <c r="C17">
        <f t="shared" si="0"/>
        <v>0.97044056779229837</v>
      </c>
    </row>
    <row r="18" spans="1:3" x14ac:dyDescent="0.25">
      <c r="A18" t="s">
        <v>86</v>
      </c>
      <c r="B18">
        <v>1.0852926920556791</v>
      </c>
      <c r="C18">
        <f t="shared" si="0"/>
        <v>0.89765951275463607</v>
      </c>
    </row>
    <row r="19" spans="1:3" x14ac:dyDescent="0.25">
      <c r="A19" t="s">
        <v>85</v>
      </c>
      <c r="B19">
        <v>1.0579135626699214</v>
      </c>
      <c r="C19">
        <f t="shared" si="0"/>
        <v>0.87501388349354403</v>
      </c>
    </row>
    <row r="20" spans="1:3" x14ac:dyDescent="0.25">
      <c r="A20" t="s">
        <v>93</v>
      </c>
      <c r="B20">
        <v>1.0000000019230768</v>
      </c>
      <c r="C20">
        <f t="shared" si="0"/>
        <v>0.82711283421675463</v>
      </c>
    </row>
    <row r="21" spans="1:3" x14ac:dyDescent="0.25">
      <c r="A21" t="s">
        <v>129</v>
      </c>
      <c r="B21">
        <v>1</v>
      </c>
      <c r="C21">
        <f t="shared" si="0"/>
        <v>0.82711283262615309</v>
      </c>
    </row>
    <row r="22" spans="1:3" x14ac:dyDescent="0.25">
      <c r="A22" t="s">
        <v>120</v>
      </c>
      <c r="B22">
        <v>1.2524162059411359</v>
      </c>
      <c r="C22">
        <f t="shared" si="0"/>
        <v>1.0358895157228725</v>
      </c>
    </row>
    <row r="23" spans="1:3" x14ac:dyDescent="0.25">
      <c r="A23" t="s">
        <v>84</v>
      </c>
      <c r="B23">
        <v>1.1805336833175755</v>
      </c>
      <c r="C23">
        <f t="shared" si="0"/>
        <v>0.9764345588193859</v>
      </c>
    </row>
    <row r="24" spans="1:3" x14ac:dyDescent="0.25">
      <c r="A24" t="s">
        <v>107</v>
      </c>
      <c r="B24">
        <v>1.1732867989861402</v>
      </c>
      <c r="C24">
        <f t="shared" si="0"/>
        <v>0.97044056779229837</v>
      </c>
    </row>
    <row r="25" spans="1:3" x14ac:dyDescent="0.25">
      <c r="A25" t="s">
        <v>131</v>
      </c>
      <c r="B25">
        <v>1</v>
      </c>
      <c r="C25">
        <f t="shared" si="0"/>
        <v>0.82711283262615309</v>
      </c>
    </row>
    <row r="26" spans="1:3" x14ac:dyDescent="0.25">
      <c r="A26" t="s">
        <v>108</v>
      </c>
      <c r="B26">
        <v>1.0000000019230768</v>
      </c>
      <c r="C26">
        <f t="shared" si="0"/>
        <v>0.82711283421675463</v>
      </c>
    </row>
    <row r="27" spans="1:3" x14ac:dyDescent="0.25">
      <c r="A27" t="s">
        <v>123</v>
      </c>
      <c r="B27">
        <v>1</v>
      </c>
      <c r="C27">
        <f t="shared" si="0"/>
        <v>0.82711283262615309</v>
      </c>
    </row>
    <row r="28" spans="1:3" x14ac:dyDescent="0.25">
      <c r="A28" t="s">
        <v>98</v>
      </c>
      <c r="B28">
        <v>1.1469466696870683</v>
      </c>
      <c r="C28">
        <f t="shared" si="0"/>
        <v>0.94865430883600388</v>
      </c>
    </row>
    <row r="29" spans="1:3" x14ac:dyDescent="0.25">
      <c r="A29" t="s">
        <v>99</v>
      </c>
      <c r="B29">
        <v>1.4023594877239098</v>
      </c>
      <c r="C29">
        <f t="shared" si="0"/>
        <v>1.159909528251484</v>
      </c>
    </row>
    <row r="30" spans="1:3" x14ac:dyDescent="0.25">
      <c r="A30" t="s">
        <v>95</v>
      </c>
      <c r="B30">
        <v>1.0641799641978822</v>
      </c>
      <c r="C30">
        <f t="shared" si="0"/>
        <v>0.88019690461170852</v>
      </c>
    </row>
    <row r="31" spans="1:3" x14ac:dyDescent="0.25">
      <c r="A31" t="s">
        <v>88</v>
      </c>
      <c r="B31">
        <v>1.6212266855239243</v>
      </c>
      <c r="C31">
        <f t="shared" si="0"/>
        <v>1.3409373961928026</v>
      </c>
    </row>
    <row r="32" spans="1:3" x14ac:dyDescent="0.25">
      <c r="A32" t="s">
        <v>122</v>
      </c>
      <c r="B32">
        <v>1</v>
      </c>
      <c r="C32">
        <f t="shared" si="0"/>
        <v>0.82711283262615309</v>
      </c>
    </row>
    <row r="33" spans="1:3" x14ac:dyDescent="0.25">
      <c r="A33" t="s">
        <v>116</v>
      </c>
      <c r="B33">
        <v>1.4534751605731027</v>
      </c>
      <c r="C33">
        <f t="shared" si="0"/>
        <v>1.2021879572133718</v>
      </c>
    </row>
    <row r="34" spans="1:3" x14ac:dyDescent="0.25">
      <c r="A34" t="s">
        <v>87</v>
      </c>
      <c r="B34">
        <v>1.2724791511444198</v>
      </c>
      <c r="C34">
        <f t="shared" si="0"/>
        <v>1.0524838351607839</v>
      </c>
    </row>
    <row r="35" spans="1:3" x14ac:dyDescent="0.25">
      <c r="A35" t="s">
        <v>124</v>
      </c>
      <c r="B35">
        <v>1</v>
      </c>
      <c r="C35">
        <f t="shared" si="0"/>
        <v>0.82711283262615309</v>
      </c>
    </row>
    <row r="36" spans="1:3" x14ac:dyDescent="0.25">
      <c r="A36" t="s">
        <v>115</v>
      </c>
      <c r="B36">
        <v>1.1457865747819169</v>
      </c>
      <c r="C36">
        <f t="shared" si="0"/>
        <v>0.94769477945288894</v>
      </c>
    </row>
    <row r="37" spans="1:3" x14ac:dyDescent="0.25">
      <c r="A37" t="s">
        <v>97</v>
      </c>
      <c r="B37">
        <v>1.089168738731936</v>
      </c>
      <c r="C37">
        <f t="shared" si="0"/>
        <v>0.90086544070042607</v>
      </c>
    </row>
    <row r="38" spans="1:3" x14ac:dyDescent="0.25">
      <c r="A38" t="s">
        <v>119</v>
      </c>
      <c r="B38">
        <v>1.2198123696813188</v>
      </c>
      <c r="C38">
        <f t="shared" si="0"/>
        <v>1.0089224643595358</v>
      </c>
    </row>
  </sheetData>
  <sortState xmlns:xlrd2="http://schemas.microsoft.com/office/spreadsheetml/2017/richdata2" ref="A2:B36">
    <sortCondition descending="1" ref="B1"/>
  </sortState>
  <mergeCells count="1">
    <mergeCell ref="M9:M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DF02-C92D-4CF3-92D3-CC1875FEE8FE}">
  <dimension ref="A1:AM7"/>
  <sheetViews>
    <sheetView tabSelected="1" topLeftCell="S1" workbookViewId="0">
      <selection activeCell="AK6" sqref="AK6"/>
    </sheetView>
  </sheetViews>
  <sheetFormatPr defaultRowHeight="15" x14ac:dyDescent="0.25"/>
  <cols>
    <col min="1" max="1" width="9.5703125" bestFit="1" customWidth="1"/>
    <col min="3" max="3" width="27.5703125" bestFit="1" customWidth="1"/>
    <col min="4" max="4" width="15.140625" bestFit="1" customWidth="1"/>
    <col min="5" max="5" width="17.7109375" bestFit="1" customWidth="1"/>
    <col min="8" max="8" width="11" bestFit="1" customWidth="1"/>
    <col min="9" max="9" width="12.140625" bestFit="1" customWidth="1"/>
    <col min="10" max="10" width="21.85546875" bestFit="1" customWidth="1"/>
    <col min="11" max="11" width="14.42578125" bestFit="1" customWidth="1"/>
    <col min="16" max="16" width="16.85546875" bestFit="1" customWidth="1"/>
    <col min="17" max="17" width="18.85546875" bestFit="1" customWidth="1"/>
    <col min="18" max="18" width="10" bestFit="1" customWidth="1"/>
    <col min="19" max="19" width="9.7109375" bestFit="1" customWidth="1"/>
    <col min="22" max="22" width="13.140625" bestFit="1" customWidth="1"/>
    <col min="23" max="23" width="15.85546875" bestFit="1" customWidth="1"/>
    <col min="24" max="24" width="12.140625" bestFit="1" customWidth="1"/>
    <col min="26" max="26" width="10.7109375" bestFit="1" customWidth="1"/>
    <col min="30" max="30" width="11.140625" bestFit="1" customWidth="1"/>
    <col min="32" max="32" width="9.5703125" bestFit="1" customWidth="1"/>
    <col min="34" max="34" width="11" bestFit="1" customWidth="1"/>
    <col min="35" max="35" width="10.140625" bestFit="1" customWidth="1"/>
    <col min="37" max="37" width="13.28515625" bestFit="1" customWidth="1"/>
    <col min="38" max="38" width="12" bestFit="1" customWidth="1"/>
    <col min="39" max="39" width="12.140625" bestFit="1" customWidth="1"/>
  </cols>
  <sheetData>
    <row r="1" spans="1:39" s="11" customFormat="1" x14ac:dyDescent="0.25">
      <c r="A1" s="11" t="s">
        <v>0</v>
      </c>
      <c r="B1" s="11" t="s">
        <v>190</v>
      </c>
      <c r="C1" s="11" t="s">
        <v>128</v>
      </c>
      <c r="D1" s="11" t="s">
        <v>118</v>
      </c>
      <c r="E1" s="11" t="s">
        <v>126</v>
      </c>
      <c r="F1" s="11" t="s">
        <v>125</v>
      </c>
      <c r="G1" s="11" t="s">
        <v>106</v>
      </c>
      <c r="H1" s="11" t="s">
        <v>101</v>
      </c>
      <c r="I1" s="11" t="s">
        <v>102</v>
      </c>
      <c r="J1" s="11" t="s">
        <v>132</v>
      </c>
      <c r="K1" s="11" t="s">
        <v>127</v>
      </c>
      <c r="L1" s="11" t="s">
        <v>91</v>
      </c>
      <c r="M1" s="11" t="s">
        <v>109</v>
      </c>
      <c r="N1" s="11" t="s">
        <v>103</v>
      </c>
      <c r="O1" s="11" t="s">
        <v>89</v>
      </c>
      <c r="P1" s="11" t="s">
        <v>121</v>
      </c>
      <c r="Q1" s="11" t="s">
        <v>117</v>
      </c>
      <c r="R1" s="11" t="s">
        <v>130</v>
      </c>
      <c r="S1" s="11" t="s">
        <v>86</v>
      </c>
      <c r="T1" s="11" t="s">
        <v>85</v>
      </c>
      <c r="U1" s="11" t="s">
        <v>93</v>
      </c>
      <c r="V1" s="11" t="s">
        <v>129</v>
      </c>
      <c r="W1" s="11" t="s">
        <v>120</v>
      </c>
      <c r="X1" s="11" t="s">
        <v>84</v>
      </c>
      <c r="Y1" s="11" t="s">
        <v>107</v>
      </c>
      <c r="Z1" s="11" t="s">
        <v>131</v>
      </c>
      <c r="AA1" s="11" t="s">
        <v>108</v>
      </c>
      <c r="AB1" s="11" t="s">
        <v>123</v>
      </c>
      <c r="AC1" s="11" t="s">
        <v>98</v>
      </c>
      <c r="AD1" s="11" t="s">
        <v>99</v>
      </c>
      <c r="AE1" s="11" t="s">
        <v>95</v>
      </c>
      <c r="AF1" s="11" t="s">
        <v>88</v>
      </c>
      <c r="AG1" s="11" t="s">
        <v>122</v>
      </c>
      <c r="AH1" s="11" t="s">
        <v>116</v>
      </c>
      <c r="AI1" s="11" t="s">
        <v>87</v>
      </c>
      <c r="AJ1" s="11" t="s">
        <v>124</v>
      </c>
      <c r="AK1" s="11" t="s">
        <v>115</v>
      </c>
      <c r="AL1" s="11" t="s">
        <v>97</v>
      </c>
      <c r="AM1" s="11" t="s">
        <v>119</v>
      </c>
    </row>
    <row r="2" spans="1:39" x14ac:dyDescent="0.25">
      <c r="A2" s="59">
        <v>43920</v>
      </c>
      <c r="B2">
        <v>1347</v>
      </c>
      <c r="C2">
        <v>10</v>
      </c>
      <c r="D2">
        <f>D3-21</f>
        <v>23</v>
      </c>
      <c r="E2">
        <v>0</v>
      </c>
      <c r="F2">
        <v>1</v>
      </c>
      <c r="G2">
        <f>G3-6</f>
        <v>15</v>
      </c>
      <c r="H2">
        <f>H3-2</f>
        <v>13</v>
      </c>
      <c r="I2">
        <f>I3-1</f>
        <v>8</v>
      </c>
      <c r="J2">
        <v>0</v>
      </c>
      <c r="K2">
        <v>0</v>
      </c>
      <c r="L2">
        <f>L3-23</f>
        <v>99</v>
      </c>
      <c r="M2">
        <v>5</v>
      </c>
      <c r="N2">
        <f>N3-4</f>
        <v>70</v>
      </c>
      <c r="O2">
        <f>O3-1</f>
        <v>41</v>
      </c>
      <c r="P2">
        <f>P3-0</f>
        <v>3</v>
      </c>
      <c r="Q2">
        <f>Q3-6</f>
        <v>49</v>
      </c>
      <c r="R2">
        <v>1</v>
      </c>
      <c r="S2">
        <f>S3-10</f>
        <v>91</v>
      </c>
      <c r="T2">
        <f>T3-7</f>
        <v>234</v>
      </c>
      <c r="U2">
        <v>13</v>
      </c>
      <c r="V2">
        <v>0</v>
      </c>
      <c r="W2">
        <f>W3-19</f>
        <v>47</v>
      </c>
      <c r="X2">
        <f>X3-64</f>
        <v>238</v>
      </c>
      <c r="Y2">
        <v>1</v>
      </c>
      <c r="Z2">
        <v>0</v>
      </c>
      <c r="AA2">
        <v>1</v>
      </c>
      <c r="AB2">
        <v>0</v>
      </c>
      <c r="AC2">
        <v>5</v>
      </c>
      <c r="AD2">
        <f>AD3-0</f>
        <v>1</v>
      </c>
      <c r="AE2">
        <f>AE3-1</f>
        <v>41</v>
      </c>
      <c r="AF2">
        <f>AF3-79</f>
        <v>14</v>
      </c>
      <c r="AG2">
        <v>0</v>
      </c>
      <c r="AH2">
        <f>AH3-57</f>
        <v>67</v>
      </c>
      <c r="AI2">
        <f>AI3-20</f>
        <v>77</v>
      </c>
      <c r="AJ2">
        <v>0</v>
      </c>
      <c r="AK2">
        <f>AK3-8</f>
        <v>98</v>
      </c>
      <c r="AL2">
        <v>7</v>
      </c>
      <c r="AM2">
        <f>AM3-15</f>
        <v>22</v>
      </c>
    </row>
    <row r="3" spans="1:39" x14ac:dyDescent="0.25">
      <c r="A3" s="59">
        <v>43921</v>
      </c>
      <c r="B3">
        <v>1635</v>
      </c>
      <c r="C3">
        <v>10</v>
      </c>
      <c r="D3">
        <f>D4-67</f>
        <v>44</v>
      </c>
      <c r="E3">
        <v>0</v>
      </c>
      <c r="F3">
        <v>16</v>
      </c>
      <c r="G3">
        <f>G4-3</f>
        <v>21</v>
      </c>
      <c r="H3">
        <f>H4-2</f>
        <v>15</v>
      </c>
      <c r="I3">
        <f>I4-0</f>
        <v>9</v>
      </c>
      <c r="J3">
        <v>0</v>
      </c>
      <c r="K3">
        <v>0</v>
      </c>
      <c r="L3">
        <f>L4-32</f>
        <v>122</v>
      </c>
      <c r="M3">
        <v>5</v>
      </c>
      <c r="N3">
        <f>N4-13</f>
        <v>74</v>
      </c>
      <c r="O3">
        <f>O4-7</f>
        <v>42</v>
      </c>
      <c r="P3">
        <f>P4-0</f>
        <v>3</v>
      </c>
      <c r="Q3">
        <f>Q4-7</f>
        <v>55</v>
      </c>
      <c r="R3">
        <f>R4</f>
        <v>1</v>
      </c>
      <c r="S3">
        <f>S4-9</f>
        <v>101</v>
      </c>
      <c r="T3">
        <f>T4-24</f>
        <v>241</v>
      </c>
      <c r="U3">
        <v>13</v>
      </c>
      <c r="V3">
        <v>0</v>
      </c>
      <c r="W3">
        <f>W4-32</f>
        <v>66</v>
      </c>
      <c r="X3">
        <f>X4-33</f>
        <v>302</v>
      </c>
      <c r="Y3">
        <v>1</v>
      </c>
      <c r="Z3">
        <v>0</v>
      </c>
      <c r="AA3">
        <v>1</v>
      </c>
      <c r="AB3">
        <v>0</v>
      </c>
      <c r="AC3">
        <v>5</v>
      </c>
      <c r="AD3">
        <v>1</v>
      </c>
      <c r="AE3">
        <f>AE4-4</f>
        <v>42</v>
      </c>
      <c r="AF3">
        <f>AF4-27</f>
        <v>93</v>
      </c>
      <c r="AG3">
        <v>0</v>
      </c>
      <c r="AH3">
        <f>AH4-110</f>
        <v>124</v>
      </c>
      <c r="AI3">
        <f>AI4-30</f>
        <v>97</v>
      </c>
      <c r="AJ3">
        <v>0</v>
      </c>
      <c r="AK3">
        <f>AK4-13</f>
        <v>106</v>
      </c>
      <c r="AL3">
        <v>7</v>
      </c>
      <c r="AM3">
        <f>AM4</f>
        <v>37</v>
      </c>
    </row>
    <row r="4" spans="1:39" x14ac:dyDescent="0.25">
      <c r="A4" s="59">
        <v>43922</v>
      </c>
      <c r="B4">
        <v>2059</v>
      </c>
      <c r="C4">
        <v>10</v>
      </c>
      <c r="D4">
        <f>D5-38</f>
        <v>111</v>
      </c>
      <c r="E4">
        <v>0</v>
      </c>
      <c r="F4">
        <v>16</v>
      </c>
      <c r="G4">
        <f>29-5</f>
        <v>24</v>
      </c>
      <c r="H4">
        <f>H5-1</f>
        <v>17</v>
      </c>
      <c r="I4">
        <f>I5-0</f>
        <v>9</v>
      </c>
      <c r="J4">
        <v>0</v>
      </c>
      <c r="K4">
        <v>0</v>
      </c>
      <c r="L4">
        <f>L5-141</f>
        <v>154</v>
      </c>
      <c r="M4">
        <v>5</v>
      </c>
      <c r="N4">
        <f>N5-1</f>
        <v>87</v>
      </c>
      <c r="O4">
        <f>O5-0</f>
        <v>49</v>
      </c>
      <c r="P4">
        <f>P5-0</f>
        <v>3</v>
      </c>
      <c r="Q4">
        <f>Q5-8</f>
        <v>62</v>
      </c>
      <c r="R4">
        <f>R5-1</f>
        <v>1</v>
      </c>
      <c r="S4">
        <f>S5-14</f>
        <v>110</v>
      </c>
      <c r="T4">
        <f>T5-21</f>
        <v>265</v>
      </c>
      <c r="U4">
        <v>13</v>
      </c>
      <c r="V4">
        <v>0</v>
      </c>
      <c r="W4">
        <f>W5-9</f>
        <v>98</v>
      </c>
      <c r="X4">
        <f>X5-88</f>
        <v>335</v>
      </c>
      <c r="Y4">
        <v>1</v>
      </c>
      <c r="Z4">
        <v>0</v>
      </c>
      <c r="AA4">
        <v>1</v>
      </c>
      <c r="AB4">
        <v>0</v>
      </c>
      <c r="AC4">
        <v>5</v>
      </c>
      <c r="AD4">
        <v>3</v>
      </c>
      <c r="AE4">
        <f>AE5-1</f>
        <v>46</v>
      </c>
      <c r="AF4">
        <f>AF5-13</f>
        <v>120</v>
      </c>
      <c r="AG4">
        <v>0</v>
      </c>
      <c r="AH4">
        <f>AH5-75</f>
        <v>234</v>
      </c>
      <c r="AI4">
        <f>AI5-27</f>
        <v>127</v>
      </c>
      <c r="AJ4">
        <v>0</v>
      </c>
      <c r="AK4">
        <f>AK5-11</f>
        <v>119</v>
      </c>
      <c r="AL4">
        <v>7</v>
      </c>
      <c r="AM4">
        <f>AM5-16</f>
        <v>37</v>
      </c>
    </row>
    <row r="5" spans="1:39" x14ac:dyDescent="0.25">
      <c r="A5" s="59">
        <v>43923</v>
      </c>
      <c r="B5">
        <v>2545</v>
      </c>
      <c r="C5">
        <v>10</v>
      </c>
      <c r="D5">
        <v>149</v>
      </c>
      <c r="E5">
        <v>1</v>
      </c>
      <c r="F5">
        <v>16</v>
      </c>
      <c r="G5">
        <v>29</v>
      </c>
      <c r="H5">
        <f>H6-0</f>
        <v>18</v>
      </c>
      <c r="I5">
        <v>9</v>
      </c>
      <c r="J5">
        <v>0</v>
      </c>
      <c r="K5">
        <v>0</v>
      </c>
      <c r="L5">
        <f>L6-91</f>
        <v>295</v>
      </c>
      <c r="M5">
        <v>5</v>
      </c>
      <c r="N5">
        <f>95-7</f>
        <v>88</v>
      </c>
      <c r="O5">
        <f>O6-9</f>
        <v>49</v>
      </c>
      <c r="P5">
        <f>P6-3</f>
        <v>3</v>
      </c>
      <c r="Q5">
        <f>Q6-5</f>
        <v>70</v>
      </c>
      <c r="R5">
        <v>2</v>
      </c>
      <c r="S5">
        <f>S6-4</f>
        <v>124</v>
      </c>
      <c r="T5">
        <f>T6-9</f>
        <v>286</v>
      </c>
      <c r="U5">
        <v>13</v>
      </c>
      <c r="V5">
        <v>0</v>
      </c>
      <c r="W5">
        <f>107</f>
        <v>107</v>
      </c>
      <c r="X5">
        <v>423</v>
      </c>
      <c r="Y5">
        <v>2</v>
      </c>
      <c r="Z5">
        <v>0</v>
      </c>
      <c r="AA5">
        <v>1</v>
      </c>
      <c r="AB5">
        <v>0</v>
      </c>
      <c r="AC5">
        <f>AC6-4</f>
        <v>5</v>
      </c>
      <c r="AD5">
        <f>AD6</f>
        <v>5</v>
      </c>
      <c r="AE5">
        <f>53-6</f>
        <v>47</v>
      </c>
      <c r="AF5">
        <v>133</v>
      </c>
      <c r="AG5">
        <v>0</v>
      </c>
      <c r="AH5">
        <f>AH6-102</f>
        <v>309</v>
      </c>
      <c r="AI5">
        <f>AI6-75</f>
        <v>154</v>
      </c>
      <c r="AJ5">
        <v>0</v>
      </c>
      <c r="AK5">
        <f>AK6-44</f>
        <v>130</v>
      </c>
      <c r="AL5">
        <v>10</v>
      </c>
      <c r="AM5">
        <f>AM6</f>
        <v>53</v>
      </c>
    </row>
    <row r="6" spans="1:39" x14ac:dyDescent="0.25">
      <c r="A6" s="59">
        <v>43924</v>
      </c>
      <c r="B6">
        <v>3108</v>
      </c>
      <c r="C6">
        <v>10</v>
      </c>
      <c r="D6">
        <v>164</v>
      </c>
      <c r="E6">
        <v>1</v>
      </c>
      <c r="F6">
        <v>20</v>
      </c>
      <c r="G6">
        <v>30</v>
      </c>
      <c r="H6">
        <v>18</v>
      </c>
      <c r="I6">
        <v>9</v>
      </c>
      <c r="J6">
        <v>0</v>
      </c>
      <c r="K6">
        <v>0</v>
      </c>
      <c r="L6">
        <v>386</v>
      </c>
      <c r="M6">
        <v>6</v>
      </c>
      <c r="N6">
        <v>95</v>
      </c>
      <c r="O6">
        <v>58</v>
      </c>
      <c r="P6">
        <v>6</v>
      </c>
      <c r="Q6">
        <v>75</v>
      </c>
      <c r="R6">
        <v>2</v>
      </c>
      <c r="S6">
        <v>128</v>
      </c>
      <c r="T6">
        <v>295</v>
      </c>
      <c r="U6">
        <v>13</v>
      </c>
      <c r="V6">
        <v>0</v>
      </c>
      <c r="W6">
        <v>154</v>
      </c>
      <c r="X6">
        <v>490</v>
      </c>
      <c r="Y6">
        <v>2</v>
      </c>
      <c r="Z6">
        <v>0</v>
      </c>
      <c r="AA6">
        <v>1</v>
      </c>
      <c r="AB6">
        <v>0</v>
      </c>
      <c r="AC6">
        <v>9</v>
      </c>
      <c r="AD6">
        <v>5</v>
      </c>
      <c r="AE6">
        <v>53</v>
      </c>
      <c r="AF6">
        <v>179</v>
      </c>
      <c r="AG6">
        <v>0</v>
      </c>
      <c r="AH6">
        <v>411</v>
      </c>
      <c r="AI6">
        <v>229</v>
      </c>
      <c r="AJ6">
        <v>0</v>
      </c>
      <c r="AK6">
        <v>174</v>
      </c>
      <c r="AL6">
        <v>16</v>
      </c>
      <c r="AM6">
        <v>53</v>
      </c>
    </row>
    <row r="7" spans="1:39" s="11" customFormat="1" x14ac:dyDescent="0.25">
      <c r="A7" s="11" t="s">
        <v>55</v>
      </c>
      <c r="B7" s="22">
        <f>((LN(130000000/((1/(B6/(B2*130000000)))-1)))/4)+1</f>
        <v>1.2090248882065044</v>
      </c>
      <c r="C7" s="22">
        <f>((LN(130000000/((1/(C6/(C2*130000000)))-1)))/4)+1</f>
        <v>1.0000000019230768</v>
      </c>
      <c r="D7" s="22">
        <f>((LN(130000000/((1/(D6/(D2*130000000)))-1)))/4)+1</f>
        <v>1.4910930666861373</v>
      </c>
      <c r="E7" s="22">
        <v>1</v>
      </c>
      <c r="F7" s="22">
        <f t="shared" ref="F7:AM7" si="0">((LN(130000000/((1/(F6/(F2*130000000)))-1)))/4)+1</f>
        <v>1.7489331068500391</v>
      </c>
      <c r="G7" s="22">
        <f t="shared" si="0"/>
        <v>1.1732867989861402</v>
      </c>
      <c r="H7" s="22">
        <f t="shared" si="0"/>
        <v>1.0813556027713789</v>
      </c>
      <c r="I7" s="22">
        <f t="shared" si="0"/>
        <v>1.0294457610775574</v>
      </c>
      <c r="J7" s="22">
        <v>1</v>
      </c>
      <c r="K7" s="22">
        <v>1</v>
      </c>
      <c r="L7" s="22">
        <f t="shared" si="0"/>
        <v>1.3401793873306178</v>
      </c>
      <c r="M7" s="22">
        <f t="shared" si="0"/>
        <v>1.045580391506181</v>
      </c>
      <c r="N7" s="22">
        <f t="shared" si="0"/>
        <v>1.0763454149976857</v>
      </c>
      <c r="O7" s="22">
        <f t="shared" si="0"/>
        <v>1.0867177386809781</v>
      </c>
      <c r="P7" s="22">
        <f t="shared" si="0"/>
        <v>1.1732867989861402</v>
      </c>
      <c r="Q7" s="22">
        <f t="shared" si="0"/>
        <v>1.106416956799906</v>
      </c>
      <c r="R7" s="22">
        <f t="shared" si="0"/>
        <v>1.1732867989861402</v>
      </c>
      <c r="S7" s="22">
        <f t="shared" si="0"/>
        <v>1.0852926920556791</v>
      </c>
      <c r="T7" s="22">
        <f t="shared" si="0"/>
        <v>1.0579135626699214</v>
      </c>
      <c r="U7" s="22">
        <f t="shared" si="0"/>
        <v>1.0000000019230768</v>
      </c>
      <c r="V7" s="22">
        <v>1</v>
      </c>
      <c r="W7" s="22">
        <f t="shared" si="0"/>
        <v>1.2967012564770384</v>
      </c>
      <c r="X7" s="22">
        <f t="shared" si="0"/>
        <v>1.1805336833175755</v>
      </c>
      <c r="Y7" s="22">
        <f t="shared" si="0"/>
        <v>1.1732867989861402</v>
      </c>
      <c r="Z7" s="22">
        <v>1</v>
      </c>
      <c r="AA7" s="22">
        <f t="shared" si="0"/>
        <v>1.0000000019230768</v>
      </c>
      <c r="AB7" s="22">
        <v>1</v>
      </c>
      <c r="AC7" s="22">
        <f t="shared" si="0"/>
        <v>1.1469466696870683</v>
      </c>
      <c r="AD7" s="22">
        <f t="shared" si="0"/>
        <v>1.4023594877239098</v>
      </c>
      <c r="AE7" s="22">
        <f t="shared" si="0"/>
        <v>1.0641799641978822</v>
      </c>
      <c r="AF7" s="22">
        <f t="shared" si="0"/>
        <v>1.6370821436442875</v>
      </c>
      <c r="AG7" s="22">
        <v>1</v>
      </c>
      <c r="AH7" s="22">
        <f t="shared" si="0"/>
        <v>1.4534751605731027</v>
      </c>
      <c r="AI7" s="22">
        <f t="shared" si="0"/>
        <v>1.2724791511444198</v>
      </c>
      <c r="AJ7" s="22">
        <v>1</v>
      </c>
      <c r="AK7" s="22">
        <f t="shared" si="0"/>
        <v>1.1435219585504319</v>
      </c>
      <c r="AL7" s="22">
        <f t="shared" si="0"/>
        <v>1.2066696476917214</v>
      </c>
      <c r="AM7" s="22">
        <f t="shared" si="0"/>
        <v>1.2198123696813188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B675-DF70-452D-9A51-1256F3C7F1BB}">
  <dimension ref="A2:AQ141"/>
  <sheetViews>
    <sheetView workbookViewId="0">
      <selection activeCell="P6" sqref="P6"/>
    </sheetView>
  </sheetViews>
  <sheetFormatPr defaultRowHeight="12" x14ac:dyDescent="0.25"/>
  <cols>
    <col min="1" max="1" width="9.28515625" style="25" bestFit="1" customWidth="1"/>
    <col min="2" max="2" width="9.140625" style="25"/>
    <col min="3" max="16" width="9.28515625" style="25" bestFit="1" customWidth="1"/>
    <col min="17" max="17" width="18.85546875" style="25" bestFit="1" customWidth="1"/>
    <col min="18" max="18" width="12.140625" style="25" bestFit="1" customWidth="1"/>
    <col min="19" max="19" width="15.140625" style="25" bestFit="1" customWidth="1"/>
    <col min="20" max="20" width="9.28515625" style="25" bestFit="1" customWidth="1"/>
    <col min="21" max="21" width="13.7109375" style="25" bestFit="1" customWidth="1"/>
    <col min="22" max="22" width="18.42578125" style="25" bestFit="1" customWidth="1"/>
    <col min="23" max="23" width="15.7109375" style="25" bestFit="1" customWidth="1"/>
    <col min="24" max="24" width="9.42578125" style="25" customWidth="1"/>
    <col min="25" max="25" width="12" style="25" bestFit="1" customWidth="1"/>
    <col min="26" max="26" width="19.28515625" style="25" bestFit="1" customWidth="1"/>
    <col min="27" max="27" width="9.28515625" style="25" bestFit="1" customWidth="1"/>
    <col min="28" max="28" width="9.140625" style="25"/>
    <col min="29" max="38" width="9.28515625" style="25" bestFit="1" customWidth="1"/>
    <col min="39" max="39" width="9.140625" style="25"/>
    <col min="40" max="40" width="12.28515625" style="27" bestFit="1" customWidth="1"/>
    <col min="41" max="41" width="12" style="25" bestFit="1" customWidth="1"/>
    <col min="42" max="42" width="21" style="25" bestFit="1" customWidth="1"/>
    <col min="43" max="43" width="9.28515625" style="25" bestFit="1" customWidth="1"/>
    <col min="44" max="16384" width="9.140625" style="25"/>
  </cols>
  <sheetData>
    <row r="2" spans="1:43" x14ac:dyDescent="0.25">
      <c r="A2" s="25">
        <v>10</v>
      </c>
      <c r="W2" s="26">
        <f>1.3*10^9</f>
        <v>1300000000</v>
      </c>
    </row>
    <row r="3" spans="1:43" x14ac:dyDescent="0.25">
      <c r="C3" s="25" t="s">
        <v>138</v>
      </c>
      <c r="D3" s="25" t="s">
        <v>142</v>
      </c>
      <c r="E3" s="25" t="s">
        <v>139</v>
      </c>
      <c r="F3" s="25" t="s">
        <v>143</v>
      </c>
      <c r="G3" s="25" t="s">
        <v>140</v>
      </c>
      <c r="H3" s="25" t="s">
        <v>144</v>
      </c>
      <c r="I3" s="25" t="s">
        <v>141</v>
      </c>
      <c r="J3" s="25" t="s">
        <v>145</v>
      </c>
      <c r="K3" s="25" t="s">
        <v>146</v>
      </c>
      <c r="L3" s="25" t="s">
        <v>147</v>
      </c>
      <c r="M3" s="25" t="s">
        <v>148</v>
      </c>
      <c r="N3" s="25" t="s">
        <v>149</v>
      </c>
      <c r="O3" s="25" t="s">
        <v>150</v>
      </c>
      <c r="P3" s="25" t="s">
        <v>154</v>
      </c>
      <c r="R3" s="25" t="s">
        <v>151</v>
      </c>
      <c r="X3" s="28">
        <f>SUM(U4:U11)</f>
        <v>0.45639999999999997</v>
      </c>
      <c r="Y3" s="28">
        <f>SUM(U6:U11)</f>
        <v>0.3276</v>
      </c>
    </row>
    <row r="4" spans="1:43" x14ac:dyDescent="0.25">
      <c r="C4" s="25">
        <v>8</v>
      </c>
      <c r="D4" s="25">
        <v>8</v>
      </c>
      <c r="E4" s="25">
        <v>7</v>
      </c>
      <c r="F4" s="25">
        <v>7</v>
      </c>
      <c r="G4" s="25">
        <v>10</v>
      </c>
      <c r="H4" s="25">
        <v>10</v>
      </c>
      <c r="I4" s="25">
        <v>7</v>
      </c>
      <c r="J4" s="25">
        <v>7</v>
      </c>
      <c r="K4" s="25">
        <f>D4/(D4+F4+H4+J4)</f>
        <v>0.25</v>
      </c>
      <c r="L4" s="25">
        <f>F4/(D4+F4+H4+J4)</f>
        <v>0.21875</v>
      </c>
      <c r="M4" s="25">
        <f>H4/(D4+F4+H4+J4)</f>
        <v>0.3125</v>
      </c>
      <c r="N4" s="25">
        <f>J4/(D4+F4+H4+J4)</f>
        <v>0.21875</v>
      </c>
      <c r="O4" s="25">
        <f>(C4*K4)+(E4*L4)+(G4*M4)+(I4*N4)</f>
        <v>8.1875</v>
      </c>
      <c r="P4" s="25">
        <f>AVERAGE(O4:O141)/10</f>
        <v>0.66521824937443186</v>
      </c>
      <c r="Q4" s="25" t="s">
        <v>161</v>
      </c>
      <c r="R4" s="29">
        <f>(1-$P$6)*$T$12*$W$2</f>
        <v>197187082.8247602</v>
      </c>
      <c r="U4" s="28">
        <v>4.4999999999999998E-2</v>
      </c>
      <c r="V4" s="30">
        <v>23</v>
      </c>
      <c r="W4" s="25">
        <f>SUMPRODUCT(X4:X11,V4:V11)</f>
        <v>37.511612620508323</v>
      </c>
      <c r="X4" s="31">
        <f>U4/$X$3</f>
        <v>9.8597721297107796E-2</v>
      </c>
      <c r="Z4" s="25">
        <f>SUMPRODUCT(Y6:Y11, V6:V11)</f>
        <v>42.193833943833951</v>
      </c>
    </row>
    <row r="5" spans="1:43" x14ac:dyDescent="0.25">
      <c r="C5" s="25">
        <v>6</v>
      </c>
      <c r="D5" s="25">
        <v>6</v>
      </c>
      <c r="E5" s="25">
        <v>5</v>
      </c>
      <c r="F5" s="25">
        <v>6</v>
      </c>
      <c r="G5" s="25">
        <v>6</v>
      </c>
      <c r="H5" s="25">
        <v>9</v>
      </c>
      <c r="I5" s="25">
        <v>6</v>
      </c>
      <c r="J5" s="25">
        <v>9</v>
      </c>
      <c r="K5" s="25">
        <f t="shared" ref="K5:K41" si="0">D5/(D5+F5+H5+J5)</f>
        <v>0.2</v>
      </c>
      <c r="L5" s="25">
        <f t="shared" ref="L5:L41" si="1">F5/(D5+F5+H5+J5)</f>
        <v>0.2</v>
      </c>
      <c r="M5" s="25">
        <f t="shared" ref="M5:M41" si="2">H5/(D5+F5+H5+J5)</f>
        <v>0.3</v>
      </c>
      <c r="N5" s="25">
        <f t="shared" ref="N5:N41" si="3">J5/(D5+F5+H5+J5)</f>
        <v>0.3</v>
      </c>
      <c r="O5" s="25">
        <f t="shared" ref="O5:O41" si="4">(C5*K5)+(E5*L5)+(G5*M5)+(I5*N5)</f>
        <v>5.8</v>
      </c>
      <c r="U5" s="28">
        <v>8.3799999999999999E-2</v>
      </c>
      <c r="V5" s="30">
        <v>27</v>
      </c>
      <c r="X5" s="31">
        <f t="shared" ref="X5:X11" si="5">U5/$X$3</f>
        <v>0.18361086765994741</v>
      </c>
    </row>
    <row r="6" spans="1:43" x14ac:dyDescent="0.25">
      <c r="C6" s="25">
        <v>6</v>
      </c>
      <c r="D6" s="25">
        <v>4</v>
      </c>
      <c r="E6" s="25">
        <v>4</v>
      </c>
      <c r="F6" s="25">
        <v>9</v>
      </c>
      <c r="G6" s="25">
        <v>9</v>
      </c>
      <c r="H6" s="25">
        <v>8</v>
      </c>
      <c r="I6" s="25">
        <v>9</v>
      </c>
      <c r="J6" s="25">
        <v>7</v>
      </c>
      <c r="K6" s="25">
        <f t="shared" si="0"/>
        <v>0.14285714285714285</v>
      </c>
      <c r="L6" s="25">
        <f t="shared" si="1"/>
        <v>0.32142857142857145</v>
      </c>
      <c r="M6" s="25">
        <f t="shared" si="2"/>
        <v>0.2857142857142857</v>
      </c>
      <c r="N6" s="25">
        <f t="shared" si="3"/>
        <v>0.25</v>
      </c>
      <c r="O6" s="25">
        <f t="shared" si="4"/>
        <v>6.9642857142857135</v>
      </c>
      <c r="P6" s="25">
        <f>MEDIAN(O4:O141)/10</f>
        <v>0.66765475152571929</v>
      </c>
      <c r="U6" s="28">
        <v>7.3200000000000001E-2</v>
      </c>
      <c r="V6" s="30">
        <v>32</v>
      </c>
      <c r="X6" s="31">
        <f t="shared" si="5"/>
        <v>0.16038562664329536</v>
      </c>
      <c r="Y6" s="31">
        <f>U6/$Y$3</f>
        <v>0.22344322344322345</v>
      </c>
    </row>
    <row r="7" spans="1:43" x14ac:dyDescent="0.25">
      <c r="C7" s="25">
        <v>8</v>
      </c>
      <c r="D7" s="25">
        <v>10</v>
      </c>
      <c r="E7" s="25">
        <v>7</v>
      </c>
      <c r="F7" s="25">
        <v>7</v>
      </c>
      <c r="G7" s="25">
        <v>5</v>
      </c>
      <c r="H7" s="25">
        <v>10</v>
      </c>
      <c r="I7" s="25">
        <v>4</v>
      </c>
      <c r="J7" s="25">
        <v>8</v>
      </c>
      <c r="K7" s="25">
        <f t="shared" si="0"/>
        <v>0.2857142857142857</v>
      </c>
      <c r="L7" s="25">
        <f t="shared" si="1"/>
        <v>0.2</v>
      </c>
      <c r="M7" s="25">
        <f t="shared" si="2"/>
        <v>0.2857142857142857</v>
      </c>
      <c r="N7" s="25">
        <f t="shared" si="3"/>
        <v>0.22857142857142856</v>
      </c>
      <c r="O7" s="25">
        <f t="shared" si="4"/>
        <v>6.0285714285714285</v>
      </c>
      <c r="Q7" s="25" t="s">
        <v>162</v>
      </c>
      <c r="R7" s="29">
        <f>1*4*$W$2*$T$12*$T$13</f>
        <v>166129600.00000003</v>
      </c>
      <c r="U7" s="28">
        <v>7.0300000000000001E-2</v>
      </c>
      <c r="V7" s="30">
        <v>37</v>
      </c>
      <c r="X7" s="31">
        <f t="shared" si="5"/>
        <v>0.15403155127081508</v>
      </c>
      <c r="Y7" s="31">
        <f t="shared" ref="Y7:Y11" si="6">U7/$Y$3</f>
        <v>0.21459096459096461</v>
      </c>
      <c r="AF7" s="25">
        <v>57</v>
      </c>
      <c r="AG7" s="25">
        <f>AF34</f>
        <v>3.3333333333333333E-2</v>
      </c>
      <c r="AH7" s="25">
        <f>AG7/$AG$12</f>
        <v>5.4032070648384847E-2</v>
      </c>
      <c r="AI7" s="25">
        <f>SUMPRODUCT(AF7:AF11,AH7:AH11)</f>
        <v>69.413432488961206</v>
      </c>
      <c r="AL7" s="25">
        <f>SUMPRODUCT(AK8:AK11,AF8:AF11)</f>
        <v>70.122466527453639</v>
      </c>
      <c r="AN7" s="27" t="s">
        <v>180</v>
      </c>
      <c r="AO7" s="25" t="s">
        <v>181</v>
      </c>
      <c r="AQ7" s="25" t="s">
        <v>182</v>
      </c>
    </row>
    <row r="8" spans="1:43" x14ac:dyDescent="0.25">
      <c r="C8" s="25">
        <v>8</v>
      </c>
      <c r="D8" s="25">
        <v>8</v>
      </c>
      <c r="E8" s="25">
        <v>7</v>
      </c>
      <c r="F8" s="25">
        <v>10</v>
      </c>
      <c r="G8" s="25">
        <v>2</v>
      </c>
      <c r="H8" s="25">
        <v>9</v>
      </c>
      <c r="I8" s="25">
        <v>8</v>
      </c>
      <c r="J8" s="25">
        <v>8</v>
      </c>
      <c r="K8" s="25">
        <f t="shared" si="0"/>
        <v>0.22857142857142856</v>
      </c>
      <c r="L8" s="25">
        <f t="shared" si="1"/>
        <v>0.2857142857142857</v>
      </c>
      <c r="M8" s="25">
        <f t="shared" si="2"/>
        <v>0.25714285714285712</v>
      </c>
      <c r="N8" s="25">
        <f t="shared" si="3"/>
        <v>0.22857142857142856</v>
      </c>
      <c r="O8" s="25">
        <f t="shared" si="4"/>
        <v>6.1714285714285708</v>
      </c>
      <c r="U8" s="28">
        <v>5.9799999999999999E-2</v>
      </c>
      <c r="V8" s="30">
        <v>42</v>
      </c>
      <c r="X8" s="31">
        <f t="shared" si="5"/>
        <v>0.13102541630148992</v>
      </c>
      <c r="Y8" s="31">
        <f t="shared" si="6"/>
        <v>0.18253968253968253</v>
      </c>
      <c r="AF8" s="25">
        <v>62</v>
      </c>
      <c r="AG8" s="25">
        <f>Y27</f>
        <v>0.08</v>
      </c>
      <c r="AH8" s="25">
        <f>AG8/$AG$12</f>
        <v>0.12967696955612365</v>
      </c>
      <c r="AK8" s="25">
        <f>AG8/$AJ$12</f>
        <v>0.13708389632723253</v>
      </c>
      <c r="AN8" s="27">
        <v>1.2345679012345678E-2</v>
      </c>
      <c r="AO8" s="25">
        <v>35</v>
      </c>
      <c r="AP8" s="25">
        <f>AN8/$AN$18</f>
        <v>1.6952074741006243E-2</v>
      </c>
      <c r="AQ8" s="25">
        <f>SUMPRODUCT(AO8:AO17,AP8:AP17)</f>
        <v>68.525022985383146</v>
      </c>
    </row>
    <row r="9" spans="1:43" x14ac:dyDescent="0.25">
      <c r="C9" s="25">
        <v>10</v>
      </c>
      <c r="D9" s="25">
        <v>8</v>
      </c>
      <c r="E9" s="25">
        <v>9</v>
      </c>
      <c r="F9" s="25">
        <v>6</v>
      </c>
      <c r="G9" s="25">
        <v>1</v>
      </c>
      <c r="H9" s="25">
        <v>3</v>
      </c>
      <c r="I9" s="25">
        <v>4</v>
      </c>
      <c r="J9" s="25">
        <v>7</v>
      </c>
      <c r="K9" s="25">
        <f t="shared" si="0"/>
        <v>0.33333333333333331</v>
      </c>
      <c r="L9" s="25">
        <f t="shared" si="1"/>
        <v>0.25</v>
      </c>
      <c r="M9" s="25">
        <f t="shared" si="2"/>
        <v>0.125</v>
      </c>
      <c r="N9" s="25">
        <f t="shared" si="3"/>
        <v>0.29166666666666669</v>
      </c>
      <c r="O9" s="25">
        <f t="shared" si="4"/>
        <v>6.875</v>
      </c>
      <c r="Q9" s="25" t="s">
        <v>163</v>
      </c>
      <c r="R9" s="29">
        <f>$AI$27*$T$12*$W$2*$U$24*$T$13</f>
        <v>7662813305.6603775</v>
      </c>
      <c r="U9" s="28">
        <v>5.1499999999999997E-2</v>
      </c>
      <c r="V9" s="30">
        <v>47</v>
      </c>
      <c r="X9" s="31">
        <f t="shared" si="5"/>
        <v>0.11283961437335671</v>
      </c>
      <c r="Y9" s="31">
        <f t="shared" si="6"/>
        <v>0.1572039072039072</v>
      </c>
      <c r="AF9" s="25">
        <v>67</v>
      </c>
      <c r="AG9" s="25">
        <f>Y28</f>
        <v>0.22580645161290322</v>
      </c>
      <c r="AH9" s="25">
        <f>AG9/$AG$12</f>
        <v>0.36602370439228443</v>
      </c>
      <c r="AK9" s="25">
        <f>AG9/$AJ$12</f>
        <v>0.3869303525365434</v>
      </c>
      <c r="AN9" s="27">
        <v>1.2345679012345678E-2</v>
      </c>
      <c r="AO9" s="25">
        <v>40</v>
      </c>
      <c r="AP9" s="25">
        <f t="shared" ref="AP9:AP17" si="7">AN9/$AN$18</f>
        <v>1.6952074741006243E-2</v>
      </c>
    </row>
    <row r="10" spans="1:43" x14ac:dyDescent="0.25">
      <c r="C10" s="25">
        <v>6</v>
      </c>
      <c r="D10" s="25">
        <v>9</v>
      </c>
      <c r="E10" s="25">
        <v>3</v>
      </c>
      <c r="F10" s="25">
        <v>10</v>
      </c>
      <c r="G10" s="25">
        <v>10</v>
      </c>
      <c r="H10" s="25">
        <v>10</v>
      </c>
      <c r="I10" s="25">
        <v>1</v>
      </c>
      <c r="J10" s="25">
        <v>7</v>
      </c>
      <c r="K10" s="25">
        <f t="shared" si="0"/>
        <v>0.25</v>
      </c>
      <c r="L10" s="25">
        <f t="shared" si="1"/>
        <v>0.27777777777777779</v>
      </c>
      <c r="M10" s="25">
        <f t="shared" si="2"/>
        <v>0.27777777777777779</v>
      </c>
      <c r="N10" s="25">
        <f t="shared" si="3"/>
        <v>0.19444444444444445</v>
      </c>
      <c r="O10" s="25">
        <f t="shared" si="4"/>
        <v>5.3055555555555554</v>
      </c>
      <c r="U10" s="28">
        <v>4.0500000000000001E-2</v>
      </c>
      <c r="V10" s="30">
        <v>52</v>
      </c>
      <c r="X10" s="31">
        <f t="shared" si="5"/>
        <v>8.8737949167397023E-2</v>
      </c>
      <c r="Y10" s="31">
        <f t="shared" si="6"/>
        <v>0.12362637362637363</v>
      </c>
      <c r="AF10" s="25">
        <v>72</v>
      </c>
      <c r="AG10" s="25">
        <f>Y29</f>
        <v>0.1111111111111111</v>
      </c>
      <c r="AH10" s="25">
        <f>AG10/$AG$12</f>
        <v>0.18010690216128283</v>
      </c>
      <c r="AK10" s="25">
        <f>AG10/$AJ$12</f>
        <v>0.1903943004544896</v>
      </c>
      <c r="AN10" s="27">
        <v>3.7735849056603772E-2</v>
      </c>
      <c r="AO10" s="25">
        <v>45</v>
      </c>
      <c r="AP10" s="25">
        <f t="shared" si="7"/>
        <v>5.1815775623453041E-2</v>
      </c>
    </row>
    <row r="11" spans="1:43" x14ac:dyDescent="0.25">
      <c r="C11" s="25">
        <v>9</v>
      </c>
      <c r="D11" s="25">
        <v>9</v>
      </c>
      <c r="E11" s="25">
        <v>6</v>
      </c>
      <c r="F11" s="25">
        <v>8</v>
      </c>
      <c r="G11" s="25">
        <v>10</v>
      </c>
      <c r="H11" s="25">
        <v>10</v>
      </c>
      <c r="I11" s="25">
        <v>6</v>
      </c>
      <c r="J11" s="25">
        <v>7</v>
      </c>
      <c r="K11" s="25">
        <f t="shared" si="0"/>
        <v>0.26470588235294118</v>
      </c>
      <c r="L11" s="25">
        <f t="shared" si="1"/>
        <v>0.23529411764705882</v>
      </c>
      <c r="M11" s="25">
        <f t="shared" si="2"/>
        <v>0.29411764705882354</v>
      </c>
      <c r="N11" s="25">
        <f t="shared" si="3"/>
        <v>0.20588235294117646</v>
      </c>
      <c r="O11" s="25">
        <f t="shared" si="4"/>
        <v>7.9705882352941178</v>
      </c>
      <c r="U11" s="28">
        <v>3.2300000000000002E-2</v>
      </c>
      <c r="V11" s="30">
        <v>57</v>
      </c>
      <c r="X11" s="31">
        <f t="shared" si="5"/>
        <v>7.0771253286590716E-2</v>
      </c>
      <c r="Y11" s="31">
        <f t="shared" si="6"/>
        <v>9.8595848595848606E-2</v>
      </c>
      <c r="AF11" s="25">
        <v>77</v>
      </c>
      <c r="AG11" s="25">
        <f>Y30</f>
        <v>0.16666666666666666</v>
      </c>
      <c r="AH11" s="25">
        <f>AG11/$AG$12</f>
        <v>0.27016035324192422</v>
      </c>
      <c r="AK11" s="25">
        <f>AG11/$AJ$12</f>
        <v>0.28559145068173442</v>
      </c>
      <c r="AN11" s="27">
        <v>1.6666666666666666E-2</v>
      </c>
      <c r="AO11" s="25">
        <v>50</v>
      </c>
      <c r="AP11" s="25">
        <f t="shared" si="7"/>
        <v>2.2885300900358427E-2</v>
      </c>
    </row>
    <row r="12" spans="1:43" x14ac:dyDescent="0.25">
      <c r="C12" s="25">
        <v>6</v>
      </c>
      <c r="D12" s="25">
        <v>10</v>
      </c>
      <c r="E12" s="25">
        <v>7</v>
      </c>
      <c r="F12" s="25">
        <v>10</v>
      </c>
      <c r="G12" s="25">
        <v>10</v>
      </c>
      <c r="H12" s="25">
        <v>10</v>
      </c>
      <c r="I12" s="25">
        <v>3</v>
      </c>
      <c r="J12" s="25">
        <v>3</v>
      </c>
      <c r="K12" s="25">
        <f t="shared" si="0"/>
        <v>0.30303030303030304</v>
      </c>
      <c r="L12" s="25">
        <f t="shared" si="1"/>
        <v>0.30303030303030304</v>
      </c>
      <c r="M12" s="25">
        <f t="shared" si="2"/>
        <v>0.30303030303030304</v>
      </c>
      <c r="N12" s="25">
        <f t="shared" si="3"/>
        <v>9.0909090909090912E-2</v>
      </c>
      <c r="O12" s="25">
        <f t="shared" si="4"/>
        <v>7.2424242424242422</v>
      </c>
      <c r="S12" s="25" t="s">
        <v>156</v>
      </c>
      <c r="T12" s="40">
        <f>SUM(U4:U11)</f>
        <v>0.45639999999999997</v>
      </c>
      <c r="X12" s="31">
        <f>SUM(X4:X11)</f>
        <v>1</v>
      </c>
      <c r="Y12" s="31">
        <f>SUM(Y4:Y11)</f>
        <v>1</v>
      </c>
      <c r="AG12" s="25">
        <f>SUM(AG7:AG11)</f>
        <v>0.61691756272401432</v>
      </c>
      <c r="AJ12" s="25">
        <f>SUM(AG8:AG11)</f>
        <v>0.583584229390681</v>
      </c>
      <c r="AN12" s="27">
        <v>3.2258064516129031E-2</v>
      </c>
      <c r="AO12" s="25">
        <v>55</v>
      </c>
      <c r="AP12" s="25">
        <f t="shared" si="7"/>
        <v>4.429413077488728E-2</v>
      </c>
    </row>
    <row r="13" spans="1:43" x14ac:dyDescent="0.25">
      <c r="C13" s="25">
        <v>9</v>
      </c>
      <c r="D13" s="25">
        <v>10</v>
      </c>
      <c r="E13" s="25">
        <v>9</v>
      </c>
      <c r="F13" s="25">
        <v>7</v>
      </c>
      <c r="G13" s="25">
        <v>8</v>
      </c>
      <c r="H13" s="25">
        <v>10</v>
      </c>
      <c r="I13" s="25">
        <v>2</v>
      </c>
      <c r="J13" s="25">
        <v>7</v>
      </c>
      <c r="K13" s="25">
        <f t="shared" si="0"/>
        <v>0.29411764705882354</v>
      </c>
      <c r="L13" s="25">
        <f t="shared" si="1"/>
        <v>0.20588235294117646</v>
      </c>
      <c r="M13" s="25">
        <f t="shared" si="2"/>
        <v>0.29411764705882354</v>
      </c>
      <c r="N13" s="25">
        <f t="shared" si="3"/>
        <v>0.20588235294117646</v>
      </c>
      <c r="O13" s="25">
        <f t="shared" si="4"/>
        <v>7.264705882352942</v>
      </c>
      <c r="T13" s="26">
        <v>7.0000000000000007E-2</v>
      </c>
      <c r="U13" s="25" t="s">
        <v>160</v>
      </c>
      <c r="AN13" s="27">
        <v>3.3333333333333333E-2</v>
      </c>
      <c r="AO13" s="25">
        <v>60</v>
      </c>
      <c r="AP13" s="25">
        <f t="shared" si="7"/>
        <v>4.5770601800716855E-2</v>
      </c>
    </row>
    <row r="14" spans="1:43" x14ac:dyDescent="0.25">
      <c r="C14" s="25">
        <v>7</v>
      </c>
      <c r="D14" s="25">
        <v>2</v>
      </c>
      <c r="E14" s="25">
        <v>5</v>
      </c>
      <c r="F14" s="25">
        <v>5</v>
      </c>
      <c r="G14" s="25">
        <v>10</v>
      </c>
      <c r="H14" s="25">
        <v>10</v>
      </c>
      <c r="I14" s="25">
        <v>10</v>
      </c>
      <c r="J14" s="25">
        <v>10</v>
      </c>
      <c r="K14" s="25">
        <f t="shared" si="0"/>
        <v>7.407407407407407E-2</v>
      </c>
      <c r="L14" s="25">
        <f t="shared" si="1"/>
        <v>0.18518518518518517</v>
      </c>
      <c r="M14" s="25">
        <f t="shared" si="2"/>
        <v>0.37037037037037035</v>
      </c>
      <c r="N14" s="25">
        <f t="shared" si="3"/>
        <v>0.37037037037037035</v>
      </c>
      <c r="O14" s="25">
        <f t="shared" si="4"/>
        <v>8.8518518518518512</v>
      </c>
      <c r="AN14" s="27">
        <v>0.08</v>
      </c>
      <c r="AO14" s="25">
        <v>65</v>
      </c>
      <c r="AP14" s="25">
        <f t="shared" si="7"/>
        <v>0.10984944432172046</v>
      </c>
    </row>
    <row r="15" spans="1:43" x14ac:dyDescent="0.25">
      <c r="C15" s="25">
        <v>6</v>
      </c>
      <c r="D15" s="25">
        <v>10</v>
      </c>
      <c r="E15" s="25">
        <v>7</v>
      </c>
      <c r="F15" s="25">
        <v>7</v>
      </c>
      <c r="G15" s="25">
        <v>10</v>
      </c>
      <c r="H15" s="25">
        <v>10</v>
      </c>
      <c r="I15" s="25">
        <v>6</v>
      </c>
      <c r="J15" s="25">
        <v>10</v>
      </c>
      <c r="K15" s="25">
        <f t="shared" si="0"/>
        <v>0.27027027027027029</v>
      </c>
      <c r="L15" s="25">
        <f t="shared" si="1"/>
        <v>0.1891891891891892</v>
      </c>
      <c r="M15" s="25">
        <f t="shared" si="2"/>
        <v>0.27027027027027029</v>
      </c>
      <c r="N15" s="25">
        <f t="shared" si="3"/>
        <v>0.27027027027027029</v>
      </c>
      <c r="O15" s="25">
        <f t="shared" si="4"/>
        <v>7.2702702702702711</v>
      </c>
      <c r="U15" s="28">
        <v>3.1099999999999999E-2</v>
      </c>
      <c r="V15" s="25">
        <v>62</v>
      </c>
      <c r="AN15" s="27">
        <v>0.22580645161290322</v>
      </c>
      <c r="AO15" s="25">
        <v>70</v>
      </c>
      <c r="AP15" s="25">
        <f t="shared" si="7"/>
        <v>0.31005891542421093</v>
      </c>
    </row>
    <row r="16" spans="1:43" x14ac:dyDescent="0.25">
      <c r="C16" s="25">
        <v>7</v>
      </c>
      <c r="D16" s="25">
        <v>8</v>
      </c>
      <c r="E16" s="25">
        <v>9</v>
      </c>
      <c r="F16" s="25">
        <v>10</v>
      </c>
      <c r="G16" s="25">
        <v>10</v>
      </c>
      <c r="H16" s="25">
        <v>9</v>
      </c>
      <c r="I16" s="25">
        <v>3</v>
      </c>
      <c r="J16" s="25">
        <v>2</v>
      </c>
      <c r="K16" s="25">
        <f t="shared" si="0"/>
        <v>0.27586206896551724</v>
      </c>
      <c r="L16" s="25">
        <f t="shared" si="1"/>
        <v>0.34482758620689657</v>
      </c>
      <c r="M16" s="25">
        <f t="shared" si="2"/>
        <v>0.31034482758620691</v>
      </c>
      <c r="N16" s="25">
        <f t="shared" si="3"/>
        <v>6.8965517241379309E-2</v>
      </c>
      <c r="O16" s="25">
        <f t="shared" si="4"/>
        <v>8.3448275862068986</v>
      </c>
      <c r="U16" s="28">
        <v>2.18E-2</v>
      </c>
      <c r="V16" s="25">
        <v>67</v>
      </c>
      <c r="AN16" s="27">
        <v>0.1111111111111111</v>
      </c>
      <c r="AO16" s="25">
        <v>75</v>
      </c>
      <c r="AP16" s="25">
        <f t="shared" si="7"/>
        <v>0.15256867266905619</v>
      </c>
    </row>
    <row r="17" spans="3:43" x14ac:dyDescent="0.25">
      <c r="C17" s="25">
        <v>7</v>
      </c>
      <c r="D17" s="25">
        <v>9</v>
      </c>
      <c r="E17" s="25">
        <v>8</v>
      </c>
      <c r="F17" s="25">
        <v>6</v>
      </c>
      <c r="G17" s="25">
        <v>10</v>
      </c>
      <c r="H17" s="25">
        <v>10</v>
      </c>
      <c r="I17" s="25">
        <v>8</v>
      </c>
      <c r="J17" s="25">
        <v>8</v>
      </c>
      <c r="K17" s="25">
        <f t="shared" si="0"/>
        <v>0.27272727272727271</v>
      </c>
      <c r="L17" s="25">
        <f t="shared" si="1"/>
        <v>0.18181818181818182</v>
      </c>
      <c r="M17" s="25">
        <f t="shared" si="2"/>
        <v>0.30303030303030304</v>
      </c>
      <c r="N17" s="25">
        <f t="shared" si="3"/>
        <v>0.24242424242424243</v>
      </c>
      <c r="O17" s="25">
        <f t="shared" si="4"/>
        <v>8.3333333333333321</v>
      </c>
      <c r="U17" s="28">
        <v>1.5900000000000001E-2</v>
      </c>
      <c r="V17" s="25">
        <v>72</v>
      </c>
      <c r="AN17" s="27">
        <v>0.16666666666666666</v>
      </c>
      <c r="AO17" s="25">
        <v>80</v>
      </c>
      <c r="AP17" s="25">
        <f t="shared" si="7"/>
        <v>0.22885300900358427</v>
      </c>
    </row>
    <row r="18" spans="3:43" x14ac:dyDescent="0.25">
      <c r="C18" s="25">
        <v>8</v>
      </c>
      <c r="D18" s="25">
        <v>9</v>
      </c>
      <c r="E18" s="25">
        <v>7</v>
      </c>
      <c r="F18" s="25">
        <v>7</v>
      </c>
      <c r="G18" s="25">
        <v>9</v>
      </c>
      <c r="H18" s="25">
        <v>8</v>
      </c>
      <c r="I18" s="25">
        <v>7</v>
      </c>
      <c r="J18" s="25">
        <v>5</v>
      </c>
      <c r="K18" s="25">
        <f t="shared" si="0"/>
        <v>0.31034482758620691</v>
      </c>
      <c r="L18" s="25">
        <f t="shared" si="1"/>
        <v>0.2413793103448276</v>
      </c>
      <c r="M18" s="25">
        <f t="shared" si="2"/>
        <v>0.27586206896551724</v>
      </c>
      <c r="N18" s="25">
        <f t="shared" si="3"/>
        <v>0.17241379310344829</v>
      </c>
      <c r="O18" s="25">
        <f t="shared" si="4"/>
        <v>7.8620689655172411</v>
      </c>
      <c r="S18" s="25" t="s">
        <v>155</v>
      </c>
      <c r="T18" s="28">
        <f>SUM(U15:U17)+(0.76%+0.51%+0.2%+0.12%+0.05%+0.05%)</f>
        <v>8.5699999999999998E-2</v>
      </c>
      <c r="AN18" s="27">
        <f>SUM(AN8:AN17)</f>
        <v>0.72826950098810517</v>
      </c>
    </row>
    <row r="19" spans="3:43" x14ac:dyDescent="0.25">
      <c r="C19" s="25">
        <v>4</v>
      </c>
      <c r="D19" s="25">
        <v>9</v>
      </c>
      <c r="E19" s="25">
        <v>3</v>
      </c>
      <c r="F19" s="25">
        <v>9</v>
      </c>
      <c r="G19" s="25">
        <v>10</v>
      </c>
      <c r="H19" s="25">
        <v>8</v>
      </c>
      <c r="I19" s="25">
        <v>1</v>
      </c>
      <c r="J19" s="25">
        <v>4</v>
      </c>
      <c r="K19" s="25">
        <f t="shared" si="0"/>
        <v>0.3</v>
      </c>
      <c r="L19" s="25">
        <f t="shared" si="1"/>
        <v>0.3</v>
      </c>
      <c r="M19" s="25">
        <f t="shared" si="2"/>
        <v>0.26666666666666666</v>
      </c>
      <c r="N19" s="25">
        <f t="shared" si="3"/>
        <v>0.13333333333333333</v>
      </c>
      <c r="O19" s="25">
        <f t="shared" si="4"/>
        <v>4.8999999999999995</v>
      </c>
    </row>
    <row r="20" spans="3:43" x14ac:dyDescent="0.25">
      <c r="C20" s="25">
        <v>8</v>
      </c>
      <c r="D20" s="25">
        <v>8</v>
      </c>
      <c r="E20" s="25">
        <v>9</v>
      </c>
      <c r="F20" s="25">
        <v>8</v>
      </c>
      <c r="G20" s="25">
        <v>10</v>
      </c>
      <c r="H20" s="25">
        <v>9</v>
      </c>
      <c r="I20" s="25">
        <v>6</v>
      </c>
      <c r="J20" s="25">
        <v>4</v>
      </c>
      <c r="K20" s="25">
        <f t="shared" si="0"/>
        <v>0.27586206896551724</v>
      </c>
      <c r="L20" s="25">
        <f t="shared" si="1"/>
        <v>0.27586206896551724</v>
      </c>
      <c r="M20" s="25">
        <f t="shared" si="2"/>
        <v>0.31034482758620691</v>
      </c>
      <c r="N20" s="25">
        <f t="shared" si="3"/>
        <v>0.13793103448275862</v>
      </c>
      <c r="O20" s="25">
        <f t="shared" si="4"/>
        <v>8.6206896551724146</v>
      </c>
      <c r="U20" s="30">
        <v>3</v>
      </c>
      <c r="V20" s="25" t="s">
        <v>152</v>
      </c>
    </row>
    <row r="21" spans="3:43" x14ac:dyDescent="0.25">
      <c r="C21" s="25">
        <v>9</v>
      </c>
      <c r="D21" s="25">
        <v>10</v>
      </c>
      <c r="E21" s="25">
        <v>8</v>
      </c>
      <c r="F21" s="25">
        <v>10</v>
      </c>
      <c r="G21" s="25">
        <v>10</v>
      </c>
      <c r="H21" s="25">
        <v>10</v>
      </c>
      <c r="I21" s="25">
        <v>2</v>
      </c>
      <c r="J21" s="25">
        <v>10</v>
      </c>
      <c r="K21" s="25">
        <f t="shared" si="0"/>
        <v>0.25</v>
      </c>
      <c r="L21" s="25">
        <f t="shared" si="1"/>
        <v>0.25</v>
      </c>
      <c r="M21" s="25">
        <f t="shared" si="2"/>
        <v>0.25</v>
      </c>
      <c r="N21" s="25">
        <f t="shared" si="3"/>
        <v>0.25</v>
      </c>
      <c r="O21" s="25">
        <f t="shared" si="4"/>
        <v>7.25</v>
      </c>
      <c r="Q21" s="25" t="s">
        <v>157</v>
      </c>
      <c r="R21" s="29">
        <f>1*$U$21*$T$18*$W$2*$AA$27*$T$13</f>
        <v>616258097.93814433</v>
      </c>
      <c r="U21" s="25">
        <f>U20*365</f>
        <v>1095</v>
      </c>
      <c r="V21" s="25" t="s">
        <v>153</v>
      </c>
    </row>
    <row r="22" spans="3:43" x14ac:dyDescent="0.25">
      <c r="C22" s="25">
        <v>7</v>
      </c>
      <c r="D22" s="25">
        <v>9</v>
      </c>
      <c r="E22" s="25">
        <v>7</v>
      </c>
      <c r="F22" s="25">
        <v>9</v>
      </c>
      <c r="G22" s="25">
        <v>10</v>
      </c>
      <c r="H22" s="25">
        <v>8</v>
      </c>
      <c r="I22" s="25">
        <v>7</v>
      </c>
      <c r="J22" s="25">
        <v>8</v>
      </c>
      <c r="K22" s="25">
        <f t="shared" si="0"/>
        <v>0.26470588235294118</v>
      </c>
      <c r="L22" s="25">
        <f t="shared" si="1"/>
        <v>0.26470588235294118</v>
      </c>
      <c r="M22" s="25">
        <f t="shared" si="2"/>
        <v>0.23529411764705882</v>
      </c>
      <c r="N22" s="25">
        <f t="shared" si="3"/>
        <v>0.23529411764705882</v>
      </c>
      <c r="O22" s="25">
        <f t="shared" si="4"/>
        <v>7.7058823529411757</v>
      </c>
    </row>
    <row r="23" spans="3:43" ht="12.75" thickBot="1" x14ac:dyDescent="0.3">
      <c r="C23" s="25">
        <v>9</v>
      </c>
      <c r="D23" s="25">
        <v>8</v>
      </c>
      <c r="E23" s="25">
        <v>8</v>
      </c>
      <c r="F23" s="25">
        <v>9</v>
      </c>
      <c r="G23" s="25">
        <v>10</v>
      </c>
      <c r="H23" s="25">
        <v>10</v>
      </c>
      <c r="I23" s="25">
        <v>8</v>
      </c>
      <c r="J23" s="25">
        <v>9</v>
      </c>
      <c r="K23" s="25">
        <f t="shared" si="0"/>
        <v>0.22222222222222221</v>
      </c>
      <c r="L23" s="25">
        <f t="shared" si="1"/>
        <v>0.25</v>
      </c>
      <c r="M23" s="25">
        <f t="shared" si="2"/>
        <v>0.27777777777777779</v>
      </c>
      <c r="N23" s="25">
        <f t="shared" si="3"/>
        <v>0.25</v>
      </c>
      <c r="O23" s="25">
        <f t="shared" si="4"/>
        <v>8.7777777777777786</v>
      </c>
      <c r="U23" s="25">
        <f>71-W4</f>
        <v>33.488387379491677</v>
      </c>
      <c r="V23" s="25" t="s">
        <v>152</v>
      </c>
      <c r="AN23" s="38" t="s">
        <v>180</v>
      </c>
      <c r="AO23" s="39" t="s">
        <v>184</v>
      </c>
      <c r="AP23" s="39" t="s">
        <v>182</v>
      </c>
      <c r="AQ23" s="33"/>
    </row>
    <row r="24" spans="3:43" ht="15" customHeight="1" x14ac:dyDescent="0.25">
      <c r="C24" s="25">
        <v>8</v>
      </c>
      <c r="D24" s="25">
        <v>8</v>
      </c>
      <c r="E24" s="25">
        <v>5</v>
      </c>
      <c r="F24" s="25">
        <v>9</v>
      </c>
      <c r="G24" s="25">
        <v>10</v>
      </c>
      <c r="H24" s="25">
        <v>10</v>
      </c>
      <c r="I24" s="25">
        <v>8</v>
      </c>
      <c r="J24" s="25">
        <v>8</v>
      </c>
      <c r="K24" s="25">
        <f t="shared" si="0"/>
        <v>0.22857142857142856</v>
      </c>
      <c r="L24" s="25">
        <f t="shared" si="1"/>
        <v>0.25714285714285712</v>
      </c>
      <c r="M24" s="25">
        <f t="shared" si="2"/>
        <v>0.2857142857142857</v>
      </c>
      <c r="N24" s="25">
        <f t="shared" si="3"/>
        <v>0.22857142857142856</v>
      </c>
      <c r="O24" s="25">
        <f t="shared" si="4"/>
        <v>7.7999999999999989</v>
      </c>
      <c r="Q24" s="25" t="s">
        <v>159</v>
      </c>
      <c r="R24" s="29">
        <f>R7+R9+R21</f>
        <v>8445201003.5985222</v>
      </c>
      <c r="U24" s="26">
        <f>365*U23</f>
        <v>12223.261393514462</v>
      </c>
      <c r="V24" s="25" t="s">
        <v>153</v>
      </c>
      <c r="AN24" s="6">
        <v>0</v>
      </c>
      <c r="AO24" s="35" t="s">
        <v>172</v>
      </c>
      <c r="AP24" s="64">
        <v>68.525022985383146</v>
      </c>
      <c r="AQ24" s="32"/>
    </row>
    <row r="25" spans="3:43" x14ac:dyDescent="0.25">
      <c r="C25" s="25">
        <v>8</v>
      </c>
      <c r="D25" s="25">
        <v>9</v>
      </c>
      <c r="E25" s="25">
        <v>5</v>
      </c>
      <c r="F25" s="25">
        <v>9</v>
      </c>
      <c r="G25" s="25">
        <v>10</v>
      </c>
      <c r="H25" s="25">
        <v>9</v>
      </c>
      <c r="I25" s="25">
        <v>3</v>
      </c>
      <c r="J25" s="25">
        <v>9</v>
      </c>
      <c r="K25" s="25">
        <f t="shared" si="0"/>
        <v>0.25</v>
      </c>
      <c r="L25" s="25">
        <f t="shared" si="1"/>
        <v>0.25</v>
      </c>
      <c r="M25" s="25">
        <f t="shared" si="2"/>
        <v>0.25</v>
      </c>
      <c r="N25" s="25">
        <f t="shared" si="3"/>
        <v>0.25</v>
      </c>
      <c r="O25" s="25">
        <f t="shared" si="4"/>
        <v>6.5</v>
      </c>
      <c r="AN25" s="6">
        <v>0</v>
      </c>
      <c r="AO25" s="35" t="s">
        <v>173</v>
      </c>
      <c r="AP25" s="65"/>
      <c r="AQ25" s="32"/>
    </row>
    <row r="26" spans="3:43" x14ac:dyDescent="0.25">
      <c r="C26" s="25">
        <v>9</v>
      </c>
      <c r="D26" s="25">
        <v>10</v>
      </c>
      <c r="E26" s="25">
        <v>8</v>
      </c>
      <c r="F26" s="25">
        <v>9</v>
      </c>
      <c r="G26" s="25">
        <v>10</v>
      </c>
      <c r="H26" s="25">
        <v>9</v>
      </c>
      <c r="I26" s="25">
        <v>3</v>
      </c>
      <c r="J26" s="25">
        <v>9</v>
      </c>
      <c r="K26" s="25">
        <f t="shared" si="0"/>
        <v>0.27027027027027029</v>
      </c>
      <c r="L26" s="25">
        <f t="shared" si="1"/>
        <v>0.24324324324324326</v>
      </c>
      <c r="M26" s="25">
        <f t="shared" si="2"/>
        <v>0.24324324324324326</v>
      </c>
      <c r="N26" s="25">
        <f t="shared" si="3"/>
        <v>0.24324324324324326</v>
      </c>
      <c r="O26" s="25">
        <f t="shared" si="4"/>
        <v>7.5405405405405412</v>
      </c>
      <c r="S26" s="8">
        <f>R24/R4</f>
        <v>42.828368281627029</v>
      </c>
      <c r="W26" s="43" t="s">
        <v>169</v>
      </c>
      <c r="X26" s="43" t="s">
        <v>170</v>
      </c>
      <c r="Y26" s="43" t="s">
        <v>158</v>
      </c>
      <c r="Z26" s="48" t="s">
        <v>171</v>
      </c>
      <c r="AD26" s="44" t="s">
        <v>169</v>
      </c>
      <c r="AE26" s="44" t="s">
        <v>170</v>
      </c>
      <c r="AF26" s="44" t="s">
        <v>158</v>
      </c>
      <c r="AG26" s="45" t="s">
        <v>171</v>
      </c>
      <c r="AN26" s="34">
        <v>1.2345679012345678E-2</v>
      </c>
      <c r="AO26" s="35" t="s">
        <v>183</v>
      </c>
      <c r="AP26" s="65"/>
      <c r="AQ26" s="32"/>
    </row>
    <row r="27" spans="3:43" x14ac:dyDescent="0.25">
      <c r="C27" s="25">
        <v>3</v>
      </c>
      <c r="D27" s="25">
        <v>10</v>
      </c>
      <c r="E27" s="25">
        <v>7</v>
      </c>
      <c r="F27" s="25">
        <v>10</v>
      </c>
      <c r="G27" s="25">
        <v>8</v>
      </c>
      <c r="H27" s="25">
        <v>10</v>
      </c>
      <c r="I27" s="25">
        <v>3</v>
      </c>
      <c r="J27" s="25">
        <v>10</v>
      </c>
      <c r="K27" s="25">
        <f t="shared" si="0"/>
        <v>0.25</v>
      </c>
      <c r="L27" s="25">
        <f t="shared" si="1"/>
        <v>0.25</v>
      </c>
      <c r="M27" s="25">
        <f t="shared" si="2"/>
        <v>0.25</v>
      </c>
      <c r="N27" s="25">
        <f t="shared" si="3"/>
        <v>0.25</v>
      </c>
      <c r="O27" s="25">
        <f t="shared" si="4"/>
        <v>5.25</v>
      </c>
      <c r="S27" s="8"/>
      <c r="V27" s="25">
        <f>W27/$W$35</f>
        <v>0.25773195876288657</v>
      </c>
      <c r="W27" s="5">
        <v>50</v>
      </c>
      <c r="X27" s="5">
        <v>4</v>
      </c>
      <c r="Y27" s="49">
        <f>X27/W27</f>
        <v>0.08</v>
      </c>
      <c r="Z27" s="35" t="s">
        <v>165</v>
      </c>
      <c r="AA27" s="26">
        <f>SUMPRODUCT(V27:V30,Y27:Y30)</f>
        <v>7.2164948453608241E-2</v>
      </c>
      <c r="AC27" s="25">
        <f t="shared" ref="AC27:AC34" si="8">AD27/$AD$37</f>
        <v>0.18490566037735848</v>
      </c>
      <c r="AD27" s="5">
        <v>98</v>
      </c>
      <c r="AE27" s="5">
        <v>0</v>
      </c>
      <c r="AF27" s="6">
        <f>AE27/AD27</f>
        <v>0</v>
      </c>
      <c r="AG27" s="37" t="s">
        <v>172</v>
      </c>
      <c r="AI27" s="26">
        <f>SUMPRODUCT(AC27:AC34, AF27:AF34)</f>
        <v>1.509433962264151E-2</v>
      </c>
      <c r="AN27" s="34">
        <v>1.2345679012345678E-2</v>
      </c>
      <c r="AO27" s="35" t="s">
        <v>175</v>
      </c>
      <c r="AP27" s="65"/>
      <c r="AQ27" s="32"/>
    </row>
    <row r="28" spans="3:43" x14ac:dyDescent="0.25">
      <c r="C28" s="25">
        <v>7</v>
      </c>
      <c r="D28" s="25">
        <v>8</v>
      </c>
      <c r="E28" s="25">
        <v>4</v>
      </c>
      <c r="F28" s="25">
        <v>7</v>
      </c>
      <c r="G28" s="25">
        <v>10</v>
      </c>
      <c r="H28" s="25">
        <v>10</v>
      </c>
      <c r="I28" s="25">
        <v>2</v>
      </c>
      <c r="J28" s="25">
        <v>10</v>
      </c>
      <c r="K28" s="25">
        <f t="shared" si="0"/>
        <v>0.22857142857142856</v>
      </c>
      <c r="L28" s="25">
        <f t="shared" si="1"/>
        <v>0.2</v>
      </c>
      <c r="M28" s="25">
        <f t="shared" si="2"/>
        <v>0.2857142857142857</v>
      </c>
      <c r="N28" s="25">
        <f t="shared" si="3"/>
        <v>0.2857142857142857</v>
      </c>
      <c r="O28" s="25">
        <f t="shared" si="4"/>
        <v>5.8285714285714274</v>
      </c>
      <c r="V28" s="25">
        <f>W28/$W$35</f>
        <v>0.15979381443298968</v>
      </c>
      <c r="W28" s="5">
        <v>31</v>
      </c>
      <c r="X28" s="5">
        <v>7</v>
      </c>
      <c r="Y28" s="50">
        <f>X28/W28</f>
        <v>0.22580645161290322</v>
      </c>
      <c r="Z28" s="35" t="s">
        <v>166</v>
      </c>
      <c r="AC28" s="25">
        <f t="shared" si="8"/>
        <v>0.12264150943396226</v>
      </c>
      <c r="AD28" s="5">
        <v>65</v>
      </c>
      <c r="AE28" s="5">
        <v>0</v>
      </c>
      <c r="AF28" s="6">
        <f t="shared" ref="AF28:AF34" si="9">AE28/AD28</f>
        <v>0</v>
      </c>
      <c r="AG28" s="37" t="s">
        <v>173</v>
      </c>
      <c r="AN28" s="34">
        <v>3.7735849056603772E-2</v>
      </c>
      <c r="AO28" s="36" t="s">
        <v>176</v>
      </c>
      <c r="AP28" s="65"/>
      <c r="AQ28" s="32"/>
    </row>
    <row r="29" spans="3:43" x14ac:dyDescent="0.25">
      <c r="C29" s="25">
        <v>8</v>
      </c>
      <c r="D29" s="25">
        <v>10</v>
      </c>
      <c r="E29" s="25">
        <v>3</v>
      </c>
      <c r="F29" s="25">
        <v>7</v>
      </c>
      <c r="G29" s="25">
        <v>10</v>
      </c>
      <c r="H29" s="25">
        <v>10</v>
      </c>
      <c r="I29" s="25">
        <v>6</v>
      </c>
      <c r="J29" s="25">
        <v>3</v>
      </c>
      <c r="K29" s="25">
        <f t="shared" si="0"/>
        <v>0.33333333333333331</v>
      </c>
      <c r="L29" s="25">
        <f t="shared" si="1"/>
        <v>0.23333333333333334</v>
      </c>
      <c r="M29" s="25">
        <f t="shared" si="2"/>
        <v>0.33333333333333331</v>
      </c>
      <c r="N29" s="25">
        <f t="shared" si="3"/>
        <v>0.1</v>
      </c>
      <c r="O29" s="25">
        <f t="shared" si="4"/>
        <v>7.2999999999999989</v>
      </c>
      <c r="V29" s="25">
        <f>W29/$W$35</f>
        <v>4.6391752577319589E-2</v>
      </c>
      <c r="W29" s="5">
        <v>9</v>
      </c>
      <c r="X29" s="5">
        <v>1</v>
      </c>
      <c r="Y29" s="50">
        <f>X29/W29</f>
        <v>0.1111111111111111</v>
      </c>
      <c r="Z29" s="35" t="s">
        <v>167</v>
      </c>
      <c r="AC29" s="25">
        <f t="shared" si="8"/>
        <v>0.15283018867924528</v>
      </c>
      <c r="AD29" s="5">
        <v>81</v>
      </c>
      <c r="AE29" s="5">
        <v>1</v>
      </c>
      <c r="AF29" s="6">
        <f t="shared" si="9"/>
        <v>1.2345679012345678E-2</v>
      </c>
      <c r="AG29" s="37" t="s">
        <v>174</v>
      </c>
      <c r="AN29" s="34">
        <v>1.6666666666666666E-2</v>
      </c>
      <c r="AO29" s="36" t="s">
        <v>177</v>
      </c>
      <c r="AP29" s="65"/>
      <c r="AQ29" s="32"/>
    </row>
    <row r="30" spans="3:43" x14ac:dyDescent="0.25">
      <c r="C30" s="25">
        <v>6</v>
      </c>
      <c r="D30" s="25">
        <v>9</v>
      </c>
      <c r="E30" s="25">
        <v>6</v>
      </c>
      <c r="F30" s="25">
        <v>7</v>
      </c>
      <c r="G30" s="25">
        <v>10</v>
      </c>
      <c r="H30" s="25">
        <v>10</v>
      </c>
      <c r="I30" s="25">
        <v>10</v>
      </c>
      <c r="J30" s="25">
        <v>8</v>
      </c>
      <c r="K30" s="25">
        <f t="shared" si="0"/>
        <v>0.26470588235294118</v>
      </c>
      <c r="L30" s="25">
        <f t="shared" si="1"/>
        <v>0.20588235294117646</v>
      </c>
      <c r="M30" s="25">
        <f t="shared" si="2"/>
        <v>0.29411764705882354</v>
      </c>
      <c r="N30" s="25">
        <f t="shared" si="3"/>
        <v>0.23529411764705882</v>
      </c>
      <c r="O30" s="25">
        <f t="shared" si="4"/>
        <v>8.1176470588235308</v>
      </c>
      <c r="V30" s="25">
        <f>W30/$W$35</f>
        <v>6.1855670103092786E-2</v>
      </c>
      <c r="W30" s="5">
        <v>12</v>
      </c>
      <c r="X30" s="5">
        <v>2</v>
      </c>
      <c r="Y30" s="50">
        <f>X30/W30</f>
        <v>0.16666666666666666</v>
      </c>
      <c r="Z30" s="35" t="s">
        <v>168</v>
      </c>
      <c r="AC30" s="25">
        <f t="shared" si="8"/>
        <v>0.15283018867924528</v>
      </c>
      <c r="AD30" s="5">
        <v>81</v>
      </c>
      <c r="AE30" s="5">
        <v>1</v>
      </c>
      <c r="AF30" s="6">
        <f t="shared" si="9"/>
        <v>1.2345679012345678E-2</v>
      </c>
      <c r="AG30" s="37" t="s">
        <v>175</v>
      </c>
      <c r="AN30" s="34">
        <v>3.2258064516129031E-2</v>
      </c>
      <c r="AO30" s="36" t="s">
        <v>178</v>
      </c>
      <c r="AP30" s="65"/>
      <c r="AQ30" s="32"/>
    </row>
    <row r="31" spans="3:43" x14ac:dyDescent="0.25">
      <c r="C31" s="25">
        <v>8</v>
      </c>
      <c r="D31" s="25">
        <v>7</v>
      </c>
      <c r="E31" s="25">
        <v>8</v>
      </c>
      <c r="F31" s="25">
        <v>10</v>
      </c>
      <c r="G31" s="25">
        <v>2</v>
      </c>
      <c r="H31" s="25">
        <v>9</v>
      </c>
      <c r="I31" s="25">
        <v>8</v>
      </c>
      <c r="J31" s="25">
        <v>7</v>
      </c>
      <c r="K31" s="25">
        <f t="shared" si="0"/>
        <v>0.21212121212121213</v>
      </c>
      <c r="L31" s="25">
        <f t="shared" si="1"/>
        <v>0.30303030303030304</v>
      </c>
      <c r="M31" s="25">
        <f t="shared" si="2"/>
        <v>0.27272727272727271</v>
      </c>
      <c r="N31" s="25">
        <f t="shared" si="3"/>
        <v>0.21212121212121213</v>
      </c>
      <c r="O31" s="25">
        <f t="shared" si="4"/>
        <v>6.3636363636363633</v>
      </c>
      <c r="W31" s="5">
        <v>62</v>
      </c>
      <c r="X31" s="5">
        <v>2</v>
      </c>
      <c r="Y31" s="50">
        <v>3.2258064516129031E-2</v>
      </c>
      <c r="Z31" s="5" t="s">
        <v>178</v>
      </c>
      <c r="AC31" s="25">
        <f t="shared" si="8"/>
        <v>0.1</v>
      </c>
      <c r="AD31" s="5">
        <v>53</v>
      </c>
      <c r="AE31" s="5">
        <v>2</v>
      </c>
      <c r="AF31" s="6">
        <f t="shared" si="9"/>
        <v>3.7735849056603772E-2</v>
      </c>
      <c r="AG31" s="41" t="s">
        <v>176</v>
      </c>
      <c r="AN31" s="34">
        <v>3.3333333333333333E-2</v>
      </c>
      <c r="AO31" s="36" t="s">
        <v>179</v>
      </c>
      <c r="AP31" s="65"/>
      <c r="AQ31" s="32"/>
    </row>
    <row r="32" spans="3:43" x14ac:dyDescent="0.25">
      <c r="C32" s="25">
        <v>9</v>
      </c>
      <c r="D32" s="25">
        <v>5</v>
      </c>
      <c r="E32" s="25">
        <v>9</v>
      </c>
      <c r="F32" s="25">
        <v>9</v>
      </c>
      <c r="G32" s="25">
        <v>9</v>
      </c>
      <c r="H32" s="25">
        <v>9</v>
      </c>
      <c r="I32" s="25">
        <v>1</v>
      </c>
      <c r="J32" s="25">
        <v>9</v>
      </c>
      <c r="K32" s="25">
        <f t="shared" si="0"/>
        <v>0.15625</v>
      </c>
      <c r="L32" s="25">
        <f t="shared" si="1"/>
        <v>0.28125</v>
      </c>
      <c r="M32" s="25">
        <f t="shared" si="2"/>
        <v>0.28125</v>
      </c>
      <c r="N32" s="25">
        <f t="shared" si="3"/>
        <v>0.28125</v>
      </c>
      <c r="O32" s="25">
        <f t="shared" si="4"/>
        <v>6.75</v>
      </c>
      <c r="W32" s="5">
        <v>30</v>
      </c>
      <c r="X32" s="5">
        <v>1</v>
      </c>
      <c r="Y32" s="50">
        <v>3.3333333333333333E-2</v>
      </c>
      <c r="Z32" s="5" t="s">
        <v>179</v>
      </c>
      <c r="AC32" s="25">
        <f t="shared" si="8"/>
        <v>0.11320754716981132</v>
      </c>
      <c r="AD32" s="5">
        <v>60</v>
      </c>
      <c r="AE32" s="5">
        <v>1</v>
      </c>
      <c r="AF32" s="6">
        <f t="shared" si="9"/>
        <v>1.6666666666666666E-2</v>
      </c>
      <c r="AG32" s="41" t="s">
        <v>177</v>
      </c>
      <c r="AN32" s="34">
        <v>0.08</v>
      </c>
      <c r="AO32" s="35" t="s">
        <v>165</v>
      </c>
      <c r="AP32" s="65"/>
      <c r="AQ32" s="32"/>
    </row>
    <row r="33" spans="3:43" x14ac:dyDescent="0.25">
      <c r="C33" s="25">
        <v>6</v>
      </c>
      <c r="D33" s="25">
        <v>9</v>
      </c>
      <c r="E33" s="25">
        <v>8</v>
      </c>
      <c r="F33" s="25">
        <v>8</v>
      </c>
      <c r="G33" s="25">
        <v>6</v>
      </c>
      <c r="H33" s="25">
        <v>9</v>
      </c>
      <c r="I33" s="25">
        <v>8</v>
      </c>
      <c r="J33" s="25">
        <v>9</v>
      </c>
      <c r="K33" s="25">
        <f t="shared" si="0"/>
        <v>0.25714285714285712</v>
      </c>
      <c r="L33" s="25">
        <f t="shared" si="1"/>
        <v>0.22857142857142856</v>
      </c>
      <c r="M33" s="25">
        <f t="shared" si="2"/>
        <v>0.25714285714285712</v>
      </c>
      <c r="N33" s="25">
        <f t="shared" si="3"/>
        <v>0.25714285714285712</v>
      </c>
      <c r="O33" s="25">
        <f t="shared" si="4"/>
        <v>6.9714285714285706</v>
      </c>
      <c r="W33" s="51"/>
      <c r="X33" s="51"/>
      <c r="Y33" s="52">
        <f>AA27</f>
        <v>7.2164948453608241E-2</v>
      </c>
      <c r="Z33" s="51"/>
      <c r="AC33" s="25">
        <f t="shared" si="8"/>
        <v>0.1169811320754717</v>
      </c>
      <c r="AD33" s="5">
        <v>62</v>
      </c>
      <c r="AE33" s="5">
        <v>2</v>
      </c>
      <c r="AF33" s="6">
        <f t="shared" si="9"/>
        <v>3.2258064516129031E-2</v>
      </c>
      <c r="AG33" s="41" t="s">
        <v>178</v>
      </c>
      <c r="AN33" s="34">
        <v>0.22580645161290322</v>
      </c>
      <c r="AO33" s="35" t="s">
        <v>166</v>
      </c>
      <c r="AP33" s="65"/>
      <c r="AQ33" s="32"/>
    </row>
    <row r="34" spans="3:43" x14ac:dyDescent="0.25">
      <c r="C34" s="25">
        <v>7</v>
      </c>
      <c r="D34" s="25">
        <v>8</v>
      </c>
      <c r="E34" s="25">
        <v>8</v>
      </c>
      <c r="F34" s="25">
        <v>10</v>
      </c>
      <c r="G34" s="25">
        <v>4</v>
      </c>
      <c r="H34" s="25">
        <v>10</v>
      </c>
      <c r="I34" s="25">
        <v>6</v>
      </c>
      <c r="J34" s="25">
        <v>6</v>
      </c>
      <c r="K34" s="25">
        <f t="shared" si="0"/>
        <v>0.23529411764705882</v>
      </c>
      <c r="L34" s="25">
        <f t="shared" si="1"/>
        <v>0.29411764705882354</v>
      </c>
      <c r="M34" s="25">
        <f t="shared" si="2"/>
        <v>0.29411764705882354</v>
      </c>
      <c r="N34" s="25">
        <f t="shared" si="3"/>
        <v>0.17647058823529413</v>
      </c>
      <c r="O34" s="25">
        <f t="shared" si="4"/>
        <v>6.2352941176470589</v>
      </c>
      <c r="AC34" s="25">
        <f t="shared" si="8"/>
        <v>5.6603773584905662E-2</v>
      </c>
      <c r="AD34" s="5">
        <v>30</v>
      </c>
      <c r="AE34" s="5">
        <v>1</v>
      </c>
      <c r="AF34" s="6">
        <f t="shared" si="9"/>
        <v>3.3333333333333333E-2</v>
      </c>
      <c r="AG34" s="41" t="s">
        <v>179</v>
      </c>
      <c r="AN34" s="34">
        <v>0.1111111111111111</v>
      </c>
      <c r="AO34" s="35" t="s">
        <v>167</v>
      </c>
      <c r="AP34" s="65"/>
    </row>
    <row r="35" spans="3:43" ht="15" customHeight="1" x14ac:dyDescent="0.25">
      <c r="C35" s="25">
        <v>8</v>
      </c>
      <c r="D35" s="25">
        <v>8</v>
      </c>
      <c r="E35" s="25">
        <v>7</v>
      </c>
      <c r="F35" s="25">
        <v>6</v>
      </c>
      <c r="G35" s="25">
        <v>8</v>
      </c>
      <c r="H35" s="25">
        <v>5</v>
      </c>
      <c r="I35" s="25">
        <v>9</v>
      </c>
      <c r="J35" s="25">
        <v>8</v>
      </c>
      <c r="K35" s="25">
        <f t="shared" si="0"/>
        <v>0.29629629629629628</v>
      </c>
      <c r="L35" s="25">
        <f t="shared" si="1"/>
        <v>0.22222222222222221</v>
      </c>
      <c r="M35" s="25">
        <f t="shared" si="2"/>
        <v>0.18518518518518517</v>
      </c>
      <c r="N35" s="25">
        <f t="shared" si="3"/>
        <v>0.29629629629629628</v>
      </c>
      <c r="O35" s="25">
        <f t="shared" si="4"/>
        <v>8.0740740740740726</v>
      </c>
      <c r="W35" s="25">
        <f>SUM(W27:W32)</f>
        <v>194</v>
      </c>
      <c r="AC35" s="25">
        <f>SUM(AC27:AC34)</f>
        <v>0.99999999999999989</v>
      </c>
      <c r="AD35" s="66" t="s">
        <v>185</v>
      </c>
      <c r="AE35" s="66"/>
      <c r="AF35" s="42">
        <f>AI27</f>
        <v>1.509433962264151E-2</v>
      </c>
      <c r="AG35" s="43">
        <v>37.51</v>
      </c>
      <c r="AN35" s="34">
        <v>0.16666666666666666</v>
      </c>
      <c r="AO35" s="35" t="s">
        <v>168</v>
      </c>
      <c r="AP35" s="65"/>
    </row>
    <row r="36" spans="3:43" x14ac:dyDescent="0.25">
      <c r="C36" s="25">
        <v>9</v>
      </c>
      <c r="D36" s="25">
        <v>10</v>
      </c>
      <c r="E36" s="25">
        <v>9</v>
      </c>
      <c r="F36" s="25">
        <v>10</v>
      </c>
      <c r="G36" s="25">
        <v>10</v>
      </c>
      <c r="H36" s="25">
        <v>10</v>
      </c>
      <c r="I36" s="25">
        <v>1</v>
      </c>
      <c r="J36" s="25">
        <v>10</v>
      </c>
      <c r="K36" s="25">
        <f t="shared" si="0"/>
        <v>0.25</v>
      </c>
      <c r="L36" s="25">
        <f t="shared" si="1"/>
        <v>0.25</v>
      </c>
      <c r="M36" s="25">
        <f t="shared" si="2"/>
        <v>0.25</v>
      </c>
      <c r="N36" s="25">
        <f t="shared" si="3"/>
        <v>0.25</v>
      </c>
      <c r="O36" s="25">
        <f t="shared" si="4"/>
        <v>7.25</v>
      </c>
    </row>
    <row r="37" spans="3:43" x14ac:dyDescent="0.25">
      <c r="C37" s="25">
        <v>8</v>
      </c>
      <c r="D37" s="25">
        <v>8</v>
      </c>
      <c r="E37" s="25">
        <v>7</v>
      </c>
      <c r="F37" s="25">
        <v>9</v>
      </c>
      <c r="G37" s="25">
        <v>5</v>
      </c>
      <c r="H37" s="25">
        <v>9</v>
      </c>
      <c r="I37" s="25">
        <v>7</v>
      </c>
      <c r="J37" s="25">
        <v>9</v>
      </c>
      <c r="K37" s="25">
        <f t="shared" si="0"/>
        <v>0.22857142857142856</v>
      </c>
      <c r="L37" s="25">
        <f t="shared" si="1"/>
        <v>0.25714285714285712</v>
      </c>
      <c r="M37" s="25">
        <f t="shared" si="2"/>
        <v>0.25714285714285712</v>
      </c>
      <c r="N37" s="25">
        <f t="shared" si="3"/>
        <v>0.25714285714285712</v>
      </c>
      <c r="O37" s="25">
        <f t="shared" si="4"/>
        <v>6.7142857142857135</v>
      </c>
      <c r="AD37" s="25">
        <f>SUM(AD27:AD34)</f>
        <v>530</v>
      </c>
    </row>
    <row r="38" spans="3:43" x14ac:dyDescent="0.25">
      <c r="C38" s="25">
        <v>9</v>
      </c>
      <c r="D38" s="25">
        <v>10</v>
      </c>
      <c r="E38" s="25">
        <v>9</v>
      </c>
      <c r="F38" s="25">
        <v>9</v>
      </c>
      <c r="G38" s="25">
        <v>9</v>
      </c>
      <c r="H38" s="25">
        <v>10</v>
      </c>
      <c r="I38" s="25">
        <v>6</v>
      </c>
      <c r="J38" s="25">
        <v>10</v>
      </c>
      <c r="K38" s="25">
        <f t="shared" si="0"/>
        <v>0.25641025641025639</v>
      </c>
      <c r="L38" s="25">
        <f t="shared" si="1"/>
        <v>0.23076923076923078</v>
      </c>
      <c r="M38" s="25">
        <f t="shared" si="2"/>
        <v>0.25641025641025639</v>
      </c>
      <c r="N38" s="25">
        <f t="shared" si="3"/>
        <v>0.25641025641025639</v>
      </c>
      <c r="O38" s="25">
        <f t="shared" si="4"/>
        <v>8.2307692307692299</v>
      </c>
    </row>
    <row r="39" spans="3:43" x14ac:dyDescent="0.25">
      <c r="C39" s="25">
        <v>10</v>
      </c>
      <c r="D39" s="25">
        <v>9</v>
      </c>
      <c r="E39" s="25">
        <v>10</v>
      </c>
      <c r="F39" s="25">
        <v>10</v>
      </c>
      <c r="G39" s="25">
        <v>9</v>
      </c>
      <c r="H39" s="25">
        <v>10</v>
      </c>
      <c r="I39" s="25">
        <v>8</v>
      </c>
      <c r="J39" s="25">
        <v>10</v>
      </c>
      <c r="K39" s="25">
        <f t="shared" si="0"/>
        <v>0.23076923076923078</v>
      </c>
      <c r="L39" s="25">
        <f t="shared" si="1"/>
        <v>0.25641025641025639</v>
      </c>
      <c r="M39" s="25">
        <f t="shared" si="2"/>
        <v>0.25641025641025639</v>
      </c>
      <c r="N39" s="25">
        <f t="shared" si="3"/>
        <v>0.25641025641025639</v>
      </c>
      <c r="O39" s="25">
        <f t="shared" si="4"/>
        <v>9.2307692307692299</v>
      </c>
    </row>
    <row r="40" spans="3:43" x14ac:dyDescent="0.25">
      <c r="C40" s="25">
        <v>10</v>
      </c>
      <c r="D40" s="25">
        <v>9</v>
      </c>
      <c r="E40" s="25">
        <v>10</v>
      </c>
      <c r="F40" s="25">
        <v>9</v>
      </c>
      <c r="G40" s="25">
        <v>9</v>
      </c>
      <c r="H40" s="25">
        <v>8</v>
      </c>
      <c r="I40" s="25">
        <v>10</v>
      </c>
      <c r="J40" s="25">
        <v>2</v>
      </c>
      <c r="K40" s="25">
        <f t="shared" si="0"/>
        <v>0.32142857142857145</v>
      </c>
      <c r="L40" s="25">
        <f t="shared" si="1"/>
        <v>0.32142857142857145</v>
      </c>
      <c r="M40" s="25">
        <f t="shared" si="2"/>
        <v>0.2857142857142857</v>
      </c>
      <c r="N40" s="25">
        <f t="shared" si="3"/>
        <v>7.1428571428571425E-2</v>
      </c>
      <c r="O40" s="25">
        <f t="shared" si="4"/>
        <v>9.7142857142857135</v>
      </c>
    </row>
    <row r="41" spans="3:43" x14ac:dyDescent="0.25">
      <c r="C41" s="25">
        <v>10</v>
      </c>
      <c r="D41" s="25">
        <v>10</v>
      </c>
      <c r="E41" s="25">
        <v>8</v>
      </c>
      <c r="F41" s="25">
        <v>9</v>
      </c>
      <c r="G41" s="25">
        <v>1</v>
      </c>
      <c r="H41" s="25">
        <v>6</v>
      </c>
      <c r="I41" s="25">
        <v>3</v>
      </c>
      <c r="J41" s="25">
        <v>3</v>
      </c>
      <c r="K41" s="25">
        <f t="shared" si="0"/>
        <v>0.35714285714285715</v>
      </c>
      <c r="L41" s="25">
        <f t="shared" si="1"/>
        <v>0.32142857142857145</v>
      </c>
      <c r="M41" s="25">
        <f t="shared" si="2"/>
        <v>0.21428571428571427</v>
      </c>
      <c r="N41" s="25">
        <f t="shared" si="3"/>
        <v>0.10714285714285714</v>
      </c>
      <c r="O41" s="25">
        <f t="shared" si="4"/>
        <v>6.6785714285714288</v>
      </c>
    </row>
    <row r="42" spans="3:43" x14ac:dyDescent="0.25">
      <c r="C42" s="25">
        <v>8</v>
      </c>
      <c r="D42" s="25">
        <v>8</v>
      </c>
      <c r="E42" s="25">
        <v>9</v>
      </c>
      <c r="F42" s="25">
        <v>9</v>
      </c>
      <c r="G42" s="25">
        <v>9</v>
      </c>
      <c r="H42" s="25">
        <v>9</v>
      </c>
      <c r="I42" s="25">
        <v>6</v>
      </c>
      <c r="J42" s="25">
        <v>7</v>
      </c>
      <c r="K42" s="25">
        <f t="shared" ref="K42:K105" si="10">D42/(D42+F42+H42+J42)</f>
        <v>0.24242424242424243</v>
      </c>
      <c r="L42" s="25">
        <f t="shared" ref="L42:L105" si="11">F42/(D42+F42+H42+J42)</f>
        <v>0.27272727272727271</v>
      </c>
      <c r="M42" s="25">
        <f t="shared" ref="M42:M105" si="12">H42/(D42+F42+H42+J42)</f>
        <v>0.27272727272727271</v>
      </c>
      <c r="N42" s="25">
        <f t="shared" ref="N42:N105" si="13">J42/(D42+F42+H42+J42)</f>
        <v>0.21212121212121213</v>
      </c>
      <c r="O42" s="25">
        <f t="shared" ref="O42:O105" si="14">(C42*K42)+(E42*L42)+(G42*M42)+(I42*N42)</f>
        <v>8.1212121212121211</v>
      </c>
      <c r="Y42" s="46" t="s">
        <v>186</v>
      </c>
      <c r="Z42" s="44" t="s">
        <v>187</v>
      </c>
    </row>
    <row r="43" spans="3:43" x14ac:dyDescent="0.25">
      <c r="C43" s="25">
        <v>7</v>
      </c>
      <c r="D43" s="25">
        <v>10</v>
      </c>
      <c r="E43" s="25">
        <v>7</v>
      </c>
      <c r="F43" s="25">
        <v>6</v>
      </c>
      <c r="G43" s="25">
        <v>3</v>
      </c>
      <c r="H43" s="25">
        <v>6</v>
      </c>
      <c r="I43" s="25">
        <v>5</v>
      </c>
      <c r="J43" s="25">
        <v>6</v>
      </c>
      <c r="K43" s="25">
        <f t="shared" si="10"/>
        <v>0.35714285714285715</v>
      </c>
      <c r="L43" s="25">
        <f t="shared" si="11"/>
        <v>0.21428571428571427</v>
      </c>
      <c r="M43" s="25">
        <f t="shared" si="12"/>
        <v>0.21428571428571427</v>
      </c>
      <c r="N43" s="25">
        <f t="shared" si="13"/>
        <v>0.21428571428571427</v>
      </c>
      <c r="O43" s="25">
        <f t="shared" si="14"/>
        <v>5.7142857142857135</v>
      </c>
      <c r="Y43" s="47" t="s">
        <v>172</v>
      </c>
      <c r="Z43" s="55">
        <v>4.4999999999999998E-2</v>
      </c>
    </row>
    <row r="44" spans="3:43" x14ac:dyDescent="0.25">
      <c r="C44" s="25">
        <v>8</v>
      </c>
      <c r="D44" s="25">
        <v>9</v>
      </c>
      <c r="E44" s="25">
        <v>7</v>
      </c>
      <c r="F44" s="25">
        <v>6</v>
      </c>
      <c r="G44" s="25">
        <v>8</v>
      </c>
      <c r="H44" s="25">
        <v>8</v>
      </c>
      <c r="I44" s="25">
        <v>7</v>
      </c>
      <c r="J44" s="25">
        <v>7</v>
      </c>
      <c r="K44" s="25">
        <f t="shared" si="10"/>
        <v>0.3</v>
      </c>
      <c r="L44" s="25">
        <f t="shared" si="11"/>
        <v>0.2</v>
      </c>
      <c r="M44" s="25">
        <f t="shared" si="12"/>
        <v>0.26666666666666666</v>
      </c>
      <c r="N44" s="25">
        <f t="shared" si="13"/>
        <v>0.23333333333333334</v>
      </c>
      <c r="O44" s="25">
        <f t="shared" si="14"/>
        <v>7.5666666666666664</v>
      </c>
      <c r="Y44" s="47" t="s">
        <v>173</v>
      </c>
      <c r="Z44" s="55">
        <v>8.3799999999999999E-2</v>
      </c>
    </row>
    <row r="45" spans="3:43" x14ac:dyDescent="0.25">
      <c r="C45" s="25">
        <v>9</v>
      </c>
      <c r="D45" s="25">
        <v>9</v>
      </c>
      <c r="E45" s="25">
        <v>9</v>
      </c>
      <c r="F45" s="25">
        <v>9</v>
      </c>
      <c r="G45" s="25">
        <v>1</v>
      </c>
      <c r="H45" s="25">
        <v>6</v>
      </c>
      <c r="I45" s="25">
        <v>8</v>
      </c>
      <c r="J45" s="25">
        <v>8</v>
      </c>
      <c r="K45" s="25">
        <f t="shared" si="10"/>
        <v>0.28125</v>
      </c>
      <c r="L45" s="25">
        <f t="shared" si="11"/>
        <v>0.28125</v>
      </c>
      <c r="M45" s="25">
        <f t="shared" si="12"/>
        <v>0.1875</v>
      </c>
      <c r="N45" s="25">
        <f t="shared" si="13"/>
        <v>0.25</v>
      </c>
      <c r="O45" s="25">
        <f t="shared" si="14"/>
        <v>7.25</v>
      </c>
      <c r="Y45" s="47" t="s">
        <v>174</v>
      </c>
      <c r="Z45" s="55">
        <v>7.3200000000000001E-2</v>
      </c>
    </row>
    <row r="46" spans="3:43" x14ac:dyDescent="0.25">
      <c r="C46" s="25">
        <v>7</v>
      </c>
      <c r="D46" s="25">
        <v>10</v>
      </c>
      <c r="E46" s="25">
        <v>6</v>
      </c>
      <c r="F46" s="25">
        <v>8</v>
      </c>
      <c r="G46" s="25">
        <v>2</v>
      </c>
      <c r="H46" s="25">
        <v>10</v>
      </c>
      <c r="I46" s="25">
        <v>3</v>
      </c>
      <c r="J46" s="25">
        <v>8</v>
      </c>
      <c r="K46" s="25">
        <f t="shared" si="10"/>
        <v>0.27777777777777779</v>
      </c>
      <c r="L46" s="25">
        <f t="shared" si="11"/>
        <v>0.22222222222222221</v>
      </c>
      <c r="M46" s="25">
        <f t="shared" si="12"/>
        <v>0.27777777777777779</v>
      </c>
      <c r="N46" s="25">
        <f t="shared" si="13"/>
        <v>0.22222222222222221</v>
      </c>
      <c r="O46" s="25">
        <f t="shared" si="14"/>
        <v>4.5</v>
      </c>
      <c r="Y46" s="47" t="s">
        <v>175</v>
      </c>
      <c r="Z46" s="55">
        <v>7.0300000000000001E-2</v>
      </c>
    </row>
    <row r="47" spans="3:43" x14ac:dyDescent="0.25">
      <c r="C47" s="25">
        <v>6</v>
      </c>
      <c r="D47" s="25">
        <v>6</v>
      </c>
      <c r="E47" s="25">
        <v>3</v>
      </c>
      <c r="F47" s="25">
        <v>9</v>
      </c>
      <c r="G47" s="25">
        <v>10</v>
      </c>
      <c r="H47" s="25">
        <v>10</v>
      </c>
      <c r="I47" s="25">
        <v>3</v>
      </c>
      <c r="J47" s="25">
        <v>4</v>
      </c>
      <c r="K47" s="25">
        <f t="shared" si="10"/>
        <v>0.20689655172413793</v>
      </c>
      <c r="L47" s="25">
        <f t="shared" si="11"/>
        <v>0.31034482758620691</v>
      </c>
      <c r="M47" s="25">
        <f t="shared" si="12"/>
        <v>0.34482758620689657</v>
      </c>
      <c r="N47" s="25">
        <f t="shared" si="13"/>
        <v>0.13793103448275862</v>
      </c>
      <c r="O47" s="25">
        <f t="shared" si="14"/>
        <v>6.0344827586206904</v>
      </c>
      <c r="Y47" s="47" t="s">
        <v>176</v>
      </c>
      <c r="Z47" s="55">
        <v>5.9799999999999999E-2</v>
      </c>
    </row>
    <row r="48" spans="3:43" x14ac:dyDescent="0.25">
      <c r="C48" s="25">
        <v>7</v>
      </c>
      <c r="D48" s="25">
        <v>10</v>
      </c>
      <c r="E48" s="25">
        <v>8</v>
      </c>
      <c r="F48" s="25">
        <v>8</v>
      </c>
      <c r="G48" s="25">
        <v>9</v>
      </c>
      <c r="H48" s="25">
        <v>7</v>
      </c>
      <c r="I48" s="25">
        <v>6</v>
      </c>
      <c r="J48" s="25">
        <v>9</v>
      </c>
      <c r="K48" s="25">
        <f t="shared" si="10"/>
        <v>0.29411764705882354</v>
      </c>
      <c r="L48" s="25">
        <f t="shared" si="11"/>
        <v>0.23529411764705882</v>
      </c>
      <c r="M48" s="25">
        <f t="shared" si="12"/>
        <v>0.20588235294117646</v>
      </c>
      <c r="N48" s="25">
        <f t="shared" si="13"/>
        <v>0.26470588235294118</v>
      </c>
      <c r="O48" s="25">
        <f t="shared" si="14"/>
        <v>7.382352941176471</v>
      </c>
      <c r="Y48" s="47" t="s">
        <v>177</v>
      </c>
      <c r="Z48" s="55">
        <v>5.1499999999999997E-2</v>
      </c>
    </row>
    <row r="49" spans="3:26" x14ac:dyDescent="0.25">
      <c r="C49" s="25">
        <v>8</v>
      </c>
      <c r="D49" s="25">
        <v>7</v>
      </c>
      <c r="E49" s="25">
        <v>8</v>
      </c>
      <c r="F49" s="25">
        <v>7</v>
      </c>
      <c r="G49" s="25">
        <v>7</v>
      </c>
      <c r="H49" s="25">
        <v>10</v>
      </c>
      <c r="I49" s="25">
        <v>8</v>
      </c>
      <c r="J49" s="25">
        <v>10</v>
      </c>
      <c r="K49" s="25">
        <f t="shared" si="10"/>
        <v>0.20588235294117646</v>
      </c>
      <c r="L49" s="25">
        <f t="shared" si="11"/>
        <v>0.20588235294117646</v>
      </c>
      <c r="M49" s="25">
        <f t="shared" si="12"/>
        <v>0.29411764705882354</v>
      </c>
      <c r="N49" s="25">
        <f t="shared" si="13"/>
        <v>0.29411764705882354</v>
      </c>
      <c r="O49" s="25">
        <f t="shared" si="14"/>
        <v>7.7058823529411775</v>
      </c>
      <c r="Y49" s="47" t="s">
        <v>178</v>
      </c>
      <c r="Z49" s="55">
        <v>4.0500000000000001E-2</v>
      </c>
    </row>
    <row r="50" spans="3:26" x14ac:dyDescent="0.25">
      <c r="C50" s="25">
        <v>7</v>
      </c>
      <c r="D50" s="25">
        <v>10</v>
      </c>
      <c r="E50" s="25">
        <v>8</v>
      </c>
      <c r="F50" s="25">
        <v>10</v>
      </c>
      <c r="G50" s="25">
        <v>8</v>
      </c>
      <c r="H50" s="25">
        <v>10</v>
      </c>
      <c r="I50" s="25">
        <v>10</v>
      </c>
      <c r="J50" s="25">
        <v>5</v>
      </c>
      <c r="K50" s="25">
        <f t="shared" si="10"/>
        <v>0.2857142857142857</v>
      </c>
      <c r="L50" s="25">
        <f t="shared" si="11"/>
        <v>0.2857142857142857</v>
      </c>
      <c r="M50" s="25">
        <f t="shared" si="12"/>
        <v>0.2857142857142857</v>
      </c>
      <c r="N50" s="25">
        <f t="shared" si="13"/>
        <v>0.14285714285714285</v>
      </c>
      <c r="O50" s="25">
        <f t="shared" si="14"/>
        <v>8</v>
      </c>
      <c r="Y50" s="47" t="s">
        <v>179</v>
      </c>
      <c r="Z50" s="55">
        <v>3.2300000000000002E-2</v>
      </c>
    </row>
    <row r="51" spans="3:26" x14ac:dyDescent="0.25">
      <c r="C51" s="25">
        <v>8</v>
      </c>
      <c r="D51" s="25">
        <v>10</v>
      </c>
      <c r="E51" s="25">
        <v>4</v>
      </c>
      <c r="F51" s="25">
        <v>8</v>
      </c>
      <c r="G51" s="25">
        <v>10</v>
      </c>
      <c r="H51" s="25">
        <v>10</v>
      </c>
      <c r="I51" s="25">
        <v>9</v>
      </c>
      <c r="J51" s="25">
        <v>4</v>
      </c>
      <c r="K51" s="25">
        <f t="shared" si="10"/>
        <v>0.3125</v>
      </c>
      <c r="L51" s="25">
        <f t="shared" si="11"/>
        <v>0.25</v>
      </c>
      <c r="M51" s="25">
        <f t="shared" si="12"/>
        <v>0.3125</v>
      </c>
      <c r="N51" s="25">
        <f t="shared" si="13"/>
        <v>0.125</v>
      </c>
      <c r="O51" s="25">
        <f t="shared" si="14"/>
        <v>7.75</v>
      </c>
    </row>
    <row r="52" spans="3:26" x14ac:dyDescent="0.25">
      <c r="C52" s="25">
        <v>10</v>
      </c>
      <c r="D52" s="25">
        <v>10</v>
      </c>
      <c r="E52" s="25">
        <v>6</v>
      </c>
      <c r="F52" s="25">
        <v>9</v>
      </c>
      <c r="G52" s="25">
        <v>10</v>
      </c>
      <c r="H52" s="25">
        <v>10</v>
      </c>
      <c r="I52" s="25">
        <v>10</v>
      </c>
      <c r="J52" s="25">
        <v>10</v>
      </c>
      <c r="K52" s="25">
        <f t="shared" si="10"/>
        <v>0.25641025641025639</v>
      </c>
      <c r="L52" s="25">
        <f t="shared" si="11"/>
        <v>0.23076923076923078</v>
      </c>
      <c r="M52" s="25">
        <f t="shared" si="12"/>
        <v>0.25641025641025639</v>
      </c>
      <c r="N52" s="25">
        <f t="shared" si="13"/>
        <v>0.25641025641025639</v>
      </c>
      <c r="O52" s="25">
        <f t="shared" si="14"/>
        <v>9.0769230769230766</v>
      </c>
    </row>
    <row r="53" spans="3:26" x14ac:dyDescent="0.25">
      <c r="C53" s="25">
        <v>7</v>
      </c>
      <c r="D53" s="25">
        <v>5</v>
      </c>
      <c r="E53" s="25">
        <v>6</v>
      </c>
      <c r="F53" s="25">
        <v>10</v>
      </c>
      <c r="G53" s="25">
        <v>1</v>
      </c>
      <c r="H53" s="25">
        <v>10</v>
      </c>
      <c r="I53" s="25">
        <v>2</v>
      </c>
      <c r="J53" s="25">
        <v>5</v>
      </c>
      <c r="K53" s="25">
        <f t="shared" si="10"/>
        <v>0.16666666666666666</v>
      </c>
      <c r="L53" s="25">
        <f t="shared" si="11"/>
        <v>0.33333333333333331</v>
      </c>
      <c r="M53" s="25">
        <f t="shared" si="12"/>
        <v>0.33333333333333331</v>
      </c>
      <c r="N53" s="25">
        <f t="shared" si="13"/>
        <v>0.16666666666666666</v>
      </c>
      <c r="O53" s="25">
        <f t="shared" si="14"/>
        <v>3.8333333333333335</v>
      </c>
      <c r="W53" s="44" t="s">
        <v>169</v>
      </c>
      <c r="X53" s="44" t="s">
        <v>170</v>
      </c>
      <c r="Y53" s="44" t="s">
        <v>158</v>
      </c>
      <c r="Z53" s="45" t="s">
        <v>171</v>
      </c>
    </row>
    <row r="54" spans="3:26" x14ac:dyDescent="0.25">
      <c r="C54" s="25">
        <v>9</v>
      </c>
      <c r="D54" s="25">
        <v>5</v>
      </c>
      <c r="E54" s="25">
        <v>7</v>
      </c>
      <c r="F54" s="25">
        <v>5</v>
      </c>
      <c r="G54" s="25">
        <v>7</v>
      </c>
      <c r="H54" s="25">
        <v>5</v>
      </c>
      <c r="I54" s="25">
        <v>10</v>
      </c>
      <c r="J54" s="25">
        <v>8</v>
      </c>
      <c r="K54" s="25">
        <f t="shared" si="10"/>
        <v>0.21739130434782608</v>
      </c>
      <c r="L54" s="25">
        <f t="shared" si="11"/>
        <v>0.21739130434782608</v>
      </c>
      <c r="M54" s="25">
        <f t="shared" si="12"/>
        <v>0.21739130434782608</v>
      </c>
      <c r="N54" s="25">
        <f t="shared" si="13"/>
        <v>0.34782608695652173</v>
      </c>
      <c r="O54" s="25">
        <f t="shared" si="14"/>
        <v>8.4782608695652169</v>
      </c>
      <c r="W54" s="5">
        <v>50</v>
      </c>
      <c r="X54" s="5">
        <v>4</v>
      </c>
      <c r="Y54" s="49">
        <f>X54/W54</f>
        <v>0.08</v>
      </c>
      <c r="Z54" s="35" t="s">
        <v>165</v>
      </c>
    </row>
    <row r="55" spans="3:26" x14ac:dyDescent="0.25">
      <c r="C55" s="25">
        <v>4</v>
      </c>
      <c r="D55" s="25">
        <v>9</v>
      </c>
      <c r="E55" s="25">
        <v>2</v>
      </c>
      <c r="F55" s="25">
        <v>7</v>
      </c>
      <c r="G55" s="25">
        <v>6</v>
      </c>
      <c r="H55" s="25">
        <v>4</v>
      </c>
      <c r="I55" s="25">
        <v>6</v>
      </c>
      <c r="J55" s="25">
        <v>6</v>
      </c>
      <c r="K55" s="25">
        <f t="shared" si="10"/>
        <v>0.34615384615384615</v>
      </c>
      <c r="L55" s="25">
        <f t="shared" si="11"/>
        <v>0.26923076923076922</v>
      </c>
      <c r="M55" s="25">
        <f t="shared" si="12"/>
        <v>0.15384615384615385</v>
      </c>
      <c r="N55" s="25">
        <f t="shared" si="13"/>
        <v>0.23076923076923078</v>
      </c>
      <c r="O55" s="25">
        <f t="shared" si="14"/>
        <v>4.2307692307692299</v>
      </c>
      <c r="W55" s="5">
        <v>31</v>
      </c>
      <c r="X55" s="5">
        <v>7</v>
      </c>
      <c r="Y55" s="50">
        <f>X55/W55</f>
        <v>0.22580645161290322</v>
      </c>
      <c r="Z55" s="35" t="s">
        <v>166</v>
      </c>
    </row>
    <row r="56" spans="3:26" x14ac:dyDescent="0.25">
      <c r="C56" s="25">
        <v>6</v>
      </c>
      <c r="D56" s="25">
        <v>10</v>
      </c>
      <c r="E56" s="25">
        <v>5</v>
      </c>
      <c r="F56" s="25">
        <v>10</v>
      </c>
      <c r="G56" s="25">
        <v>4</v>
      </c>
      <c r="H56" s="25">
        <v>10</v>
      </c>
      <c r="I56" s="25">
        <v>3</v>
      </c>
      <c r="J56" s="25">
        <v>7</v>
      </c>
      <c r="K56" s="25">
        <f t="shared" si="10"/>
        <v>0.27027027027027029</v>
      </c>
      <c r="L56" s="25">
        <f t="shared" si="11"/>
        <v>0.27027027027027029</v>
      </c>
      <c r="M56" s="25">
        <f t="shared" si="12"/>
        <v>0.27027027027027029</v>
      </c>
      <c r="N56" s="25">
        <f t="shared" si="13"/>
        <v>0.1891891891891892</v>
      </c>
      <c r="O56" s="25">
        <f t="shared" si="14"/>
        <v>4.6216216216216219</v>
      </c>
      <c r="W56" s="5">
        <v>9</v>
      </c>
      <c r="X56" s="5">
        <v>1</v>
      </c>
      <c r="Y56" s="50">
        <f>X56/W56</f>
        <v>0.1111111111111111</v>
      </c>
      <c r="Z56" s="35" t="s">
        <v>167</v>
      </c>
    </row>
    <row r="57" spans="3:26" x14ac:dyDescent="0.25">
      <c r="C57" s="25">
        <v>9</v>
      </c>
      <c r="D57" s="25">
        <v>8</v>
      </c>
      <c r="E57" s="25">
        <v>10</v>
      </c>
      <c r="F57" s="25">
        <v>8</v>
      </c>
      <c r="G57" s="25">
        <v>10</v>
      </c>
      <c r="H57" s="25">
        <v>8</v>
      </c>
      <c r="I57" s="25">
        <v>9</v>
      </c>
      <c r="J57" s="25">
        <v>7</v>
      </c>
      <c r="K57" s="25">
        <f t="shared" si="10"/>
        <v>0.25806451612903225</v>
      </c>
      <c r="L57" s="25">
        <f t="shared" si="11"/>
        <v>0.25806451612903225</v>
      </c>
      <c r="M57" s="25">
        <f t="shared" si="12"/>
        <v>0.25806451612903225</v>
      </c>
      <c r="N57" s="25">
        <f t="shared" si="13"/>
        <v>0.22580645161290322</v>
      </c>
      <c r="O57" s="25">
        <f t="shared" si="14"/>
        <v>9.5161290322580641</v>
      </c>
      <c r="W57" s="5">
        <v>12</v>
      </c>
      <c r="X57" s="5">
        <v>2</v>
      </c>
      <c r="Y57" s="50">
        <f>X57/W57</f>
        <v>0.16666666666666666</v>
      </c>
      <c r="Z57" s="35" t="s">
        <v>168</v>
      </c>
    </row>
    <row r="58" spans="3:26" x14ac:dyDescent="0.25">
      <c r="C58" s="25">
        <v>6</v>
      </c>
      <c r="D58" s="25">
        <v>9</v>
      </c>
      <c r="E58" s="25">
        <v>6</v>
      </c>
      <c r="F58" s="25">
        <v>10</v>
      </c>
      <c r="G58" s="25">
        <v>2</v>
      </c>
      <c r="H58" s="25">
        <v>10</v>
      </c>
      <c r="I58" s="25">
        <v>1</v>
      </c>
      <c r="J58" s="25">
        <v>8</v>
      </c>
      <c r="K58" s="25">
        <f t="shared" si="10"/>
        <v>0.24324324324324326</v>
      </c>
      <c r="L58" s="25">
        <f t="shared" si="11"/>
        <v>0.27027027027027029</v>
      </c>
      <c r="M58" s="25">
        <f t="shared" si="12"/>
        <v>0.27027027027027029</v>
      </c>
      <c r="N58" s="25">
        <f t="shared" si="13"/>
        <v>0.21621621621621623</v>
      </c>
      <c r="O58" s="25">
        <f t="shared" si="14"/>
        <v>3.8378378378378382</v>
      </c>
      <c r="W58" s="66" t="s">
        <v>185</v>
      </c>
      <c r="X58" s="66"/>
      <c r="Y58" s="53">
        <f>Y33</f>
        <v>7.2164948453608241E-2</v>
      </c>
      <c r="Z58" s="51">
        <v>68.53</v>
      </c>
    </row>
    <row r="59" spans="3:26" x14ac:dyDescent="0.25">
      <c r="C59" s="25">
        <v>10</v>
      </c>
      <c r="D59" s="25">
        <v>1</v>
      </c>
      <c r="E59" s="25">
        <v>3</v>
      </c>
      <c r="F59" s="25">
        <v>1</v>
      </c>
      <c r="G59" s="25">
        <v>1</v>
      </c>
      <c r="H59" s="25">
        <v>10</v>
      </c>
      <c r="I59" s="25">
        <v>10</v>
      </c>
      <c r="J59" s="25">
        <v>10</v>
      </c>
      <c r="K59" s="25">
        <f t="shared" si="10"/>
        <v>4.5454545454545456E-2</v>
      </c>
      <c r="L59" s="25">
        <f t="shared" si="11"/>
        <v>4.5454545454545456E-2</v>
      </c>
      <c r="M59" s="25">
        <f t="shared" si="12"/>
        <v>0.45454545454545453</v>
      </c>
      <c r="N59" s="25">
        <f t="shared" si="13"/>
        <v>0.45454545454545453</v>
      </c>
      <c r="O59" s="25">
        <f t="shared" si="14"/>
        <v>5.5909090909090899</v>
      </c>
    </row>
    <row r="60" spans="3:26" x14ac:dyDescent="0.25">
      <c r="C60" s="25">
        <v>8</v>
      </c>
      <c r="D60" s="25">
        <v>3</v>
      </c>
      <c r="E60" s="25">
        <v>8</v>
      </c>
      <c r="F60" s="25">
        <v>5</v>
      </c>
      <c r="G60" s="25">
        <v>6</v>
      </c>
      <c r="H60" s="25">
        <v>8</v>
      </c>
      <c r="I60" s="25">
        <v>2</v>
      </c>
      <c r="J60" s="25">
        <v>2</v>
      </c>
      <c r="K60" s="25">
        <f t="shared" si="10"/>
        <v>0.16666666666666666</v>
      </c>
      <c r="L60" s="25">
        <f t="shared" si="11"/>
        <v>0.27777777777777779</v>
      </c>
      <c r="M60" s="25">
        <f t="shared" si="12"/>
        <v>0.44444444444444442</v>
      </c>
      <c r="N60" s="25">
        <f t="shared" si="13"/>
        <v>0.1111111111111111</v>
      </c>
      <c r="O60" s="25">
        <f t="shared" si="14"/>
        <v>6.4444444444444438</v>
      </c>
    </row>
    <row r="61" spans="3:26" x14ac:dyDescent="0.25">
      <c r="C61" s="25">
        <v>10</v>
      </c>
      <c r="D61" s="25">
        <v>8</v>
      </c>
      <c r="E61" s="25">
        <v>8</v>
      </c>
      <c r="F61" s="25">
        <v>8</v>
      </c>
      <c r="G61" s="25">
        <v>8</v>
      </c>
      <c r="H61" s="25">
        <v>7</v>
      </c>
      <c r="I61" s="25">
        <v>8</v>
      </c>
      <c r="J61" s="25">
        <v>4</v>
      </c>
      <c r="K61" s="25">
        <f t="shared" si="10"/>
        <v>0.29629629629629628</v>
      </c>
      <c r="L61" s="25">
        <f t="shared" si="11"/>
        <v>0.29629629629629628</v>
      </c>
      <c r="M61" s="25">
        <f t="shared" si="12"/>
        <v>0.25925925925925924</v>
      </c>
      <c r="N61" s="25">
        <f t="shared" si="13"/>
        <v>0.14814814814814814</v>
      </c>
      <c r="O61" s="25">
        <f t="shared" si="14"/>
        <v>8.5925925925925917</v>
      </c>
    </row>
    <row r="62" spans="3:26" x14ac:dyDescent="0.25">
      <c r="C62" s="25">
        <v>8</v>
      </c>
      <c r="D62" s="25">
        <v>9</v>
      </c>
      <c r="E62" s="25">
        <v>3</v>
      </c>
      <c r="F62" s="25">
        <v>8</v>
      </c>
      <c r="G62" s="25">
        <v>10</v>
      </c>
      <c r="H62" s="25">
        <v>7</v>
      </c>
      <c r="I62" s="25">
        <v>10</v>
      </c>
      <c r="J62" s="25">
        <v>5</v>
      </c>
      <c r="K62" s="25">
        <f t="shared" si="10"/>
        <v>0.31034482758620691</v>
      </c>
      <c r="L62" s="25">
        <f t="shared" si="11"/>
        <v>0.27586206896551724</v>
      </c>
      <c r="M62" s="25">
        <f t="shared" si="12"/>
        <v>0.2413793103448276</v>
      </c>
      <c r="N62" s="25">
        <f t="shared" si="13"/>
        <v>0.17241379310344829</v>
      </c>
      <c r="O62" s="25">
        <f t="shared" si="14"/>
        <v>7.4482758620689653</v>
      </c>
    </row>
    <row r="63" spans="3:26" x14ac:dyDescent="0.25">
      <c r="C63" s="25">
        <v>8</v>
      </c>
      <c r="D63" s="25">
        <v>9</v>
      </c>
      <c r="E63" s="25">
        <v>8</v>
      </c>
      <c r="F63" s="25">
        <v>8</v>
      </c>
      <c r="G63" s="25">
        <v>2</v>
      </c>
      <c r="H63" s="25">
        <v>6</v>
      </c>
      <c r="I63" s="25">
        <v>9</v>
      </c>
      <c r="J63" s="25">
        <v>10</v>
      </c>
      <c r="K63" s="25">
        <f t="shared" si="10"/>
        <v>0.27272727272727271</v>
      </c>
      <c r="L63" s="25">
        <f t="shared" si="11"/>
        <v>0.24242424242424243</v>
      </c>
      <c r="M63" s="25">
        <f t="shared" si="12"/>
        <v>0.18181818181818182</v>
      </c>
      <c r="N63" s="25">
        <f t="shared" si="13"/>
        <v>0.30303030303030304</v>
      </c>
      <c r="O63" s="25">
        <f t="shared" si="14"/>
        <v>7.2121212121212119</v>
      </c>
    </row>
    <row r="64" spans="3:26" x14ac:dyDescent="0.25">
      <c r="C64" s="25">
        <v>10</v>
      </c>
      <c r="D64" s="25">
        <v>10</v>
      </c>
      <c r="E64" s="25">
        <v>7</v>
      </c>
      <c r="F64" s="25">
        <v>8</v>
      </c>
      <c r="G64" s="25">
        <v>1</v>
      </c>
      <c r="H64" s="25">
        <v>6</v>
      </c>
      <c r="I64" s="25">
        <v>1</v>
      </c>
      <c r="J64" s="25">
        <v>1</v>
      </c>
      <c r="K64" s="25">
        <f t="shared" si="10"/>
        <v>0.4</v>
      </c>
      <c r="L64" s="25">
        <f t="shared" si="11"/>
        <v>0.32</v>
      </c>
      <c r="M64" s="25">
        <f t="shared" si="12"/>
        <v>0.24</v>
      </c>
      <c r="N64" s="25">
        <f t="shared" si="13"/>
        <v>0.04</v>
      </c>
      <c r="O64" s="25">
        <f t="shared" si="14"/>
        <v>6.5200000000000005</v>
      </c>
    </row>
    <row r="65" spans="3:15" x14ac:dyDescent="0.25">
      <c r="C65" s="25">
        <v>8</v>
      </c>
      <c r="D65" s="25">
        <v>9</v>
      </c>
      <c r="E65" s="25">
        <v>10</v>
      </c>
      <c r="F65" s="25">
        <v>10</v>
      </c>
      <c r="G65" s="25">
        <v>1</v>
      </c>
      <c r="H65" s="25">
        <v>10</v>
      </c>
      <c r="I65" s="25">
        <v>7</v>
      </c>
      <c r="J65" s="25">
        <v>9</v>
      </c>
      <c r="K65" s="25">
        <f t="shared" si="10"/>
        <v>0.23684210526315788</v>
      </c>
      <c r="L65" s="25">
        <f t="shared" si="11"/>
        <v>0.26315789473684209</v>
      </c>
      <c r="M65" s="25">
        <f t="shared" si="12"/>
        <v>0.26315789473684209</v>
      </c>
      <c r="N65" s="25">
        <f t="shared" si="13"/>
        <v>0.23684210526315788</v>
      </c>
      <c r="O65" s="25">
        <f t="shared" si="14"/>
        <v>6.4473684210526319</v>
      </c>
    </row>
    <row r="66" spans="3:15" x14ac:dyDescent="0.25">
      <c r="C66" s="25">
        <v>6</v>
      </c>
      <c r="D66" s="25">
        <v>8</v>
      </c>
      <c r="E66" s="25">
        <v>8</v>
      </c>
      <c r="F66" s="25">
        <v>9</v>
      </c>
      <c r="G66" s="25">
        <v>4</v>
      </c>
      <c r="H66" s="25">
        <v>10</v>
      </c>
      <c r="I66" s="25">
        <v>7</v>
      </c>
      <c r="J66" s="25">
        <v>8</v>
      </c>
      <c r="K66" s="25">
        <f t="shared" si="10"/>
        <v>0.22857142857142856</v>
      </c>
      <c r="L66" s="25">
        <f t="shared" si="11"/>
        <v>0.25714285714285712</v>
      </c>
      <c r="M66" s="25">
        <f t="shared" si="12"/>
        <v>0.2857142857142857</v>
      </c>
      <c r="N66" s="25">
        <f t="shared" si="13"/>
        <v>0.22857142857142856</v>
      </c>
      <c r="O66" s="25">
        <f t="shared" si="14"/>
        <v>6.1714285714285708</v>
      </c>
    </row>
    <row r="67" spans="3:15" x14ac:dyDescent="0.25">
      <c r="C67" s="25">
        <v>1</v>
      </c>
      <c r="D67" s="25">
        <v>10</v>
      </c>
      <c r="E67" s="25">
        <v>6</v>
      </c>
      <c r="F67" s="25">
        <v>10</v>
      </c>
      <c r="G67" s="25">
        <v>1</v>
      </c>
      <c r="H67" s="25">
        <v>10</v>
      </c>
      <c r="I67" s="25">
        <v>6</v>
      </c>
      <c r="J67" s="25">
        <v>6</v>
      </c>
      <c r="K67" s="25">
        <f t="shared" si="10"/>
        <v>0.27777777777777779</v>
      </c>
      <c r="L67" s="25">
        <f t="shared" si="11"/>
        <v>0.27777777777777779</v>
      </c>
      <c r="M67" s="25">
        <f t="shared" si="12"/>
        <v>0.27777777777777779</v>
      </c>
      <c r="N67" s="25">
        <f t="shared" si="13"/>
        <v>0.16666666666666666</v>
      </c>
      <c r="O67" s="25">
        <f t="shared" si="14"/>
        <v>3.2222222222222223</v>
      </c>
    </row>
    <row r="68" spans="3:15" x14ac:dyDescent="0.25">
      <c r="C68" s="25">
        <v>10</v>
      </c>
      <c r="D68" s="25">
        <v>10</v>
      </c>
      <c r="E68" s="25">
        <v>8</v>
      </c>
      <c r="F68" s="25">
        <v>9</v>
      </c>
      <c r="G68" s="25">
        <v>10</v>
      </c>
      <c r="H68" s="25">
        <v>10</v>
      </c>
      <c r="I68" s="25">
        <v>2</v>
      </c>
      <c r="J68" s="25">
        <v>8</v>
      </c>
      <c r="K68" s="25">
        <f t="shared" si="10"/>
        <v>0.27027027027027029</v>
      </c>
      <c r="L68" s="25">
        <f t="shared" si="11"/>
        <v>0.24324324324324326</v>
      </c>
      <c r="M68" s="25">
        <f t="shared" si="12"/>
        <v>0.27027027027027029</v>
      </c>
      <c r="N68" s="25">
        <f t="shared" si="13"/>
        <v>0.21621621621621623</v>
      </c>
      <c r="O68" s="25">
        <f t="shared" si="14"/>
        <v>7.7837837837837842</v>
      </c>
    </row>
    <row r="69" spans="3:15" x14ac:dyDescent="0.25">
      <c r="C69" s="25">
        <v>9</v>
      </c>
      <c r="D69" s="25">
        <v>2</v>
      </c>
      <c r="E69" s="25">
        <v>5</v>
      </c>
      <c r="F69" s="25">
        <v>8</v>
      </c>
      <c r="G69" s="25">
        <v>2</v>
      </c>
      <c r="H69" s="25">
        <v>10</v>
      </c>
      <c r="I69" s="25">
        <v>3</v>
      </c>
      <c r="J69" s="25">
        <v>10</v>
      </c>
      <c r="K69" s="25">
        <f t="shared" si="10"/>
        <v>6.6666666666666666E-2</v>
      </c>
      <c r="L69" s="25">
        <f t="shared" si="11"/>
        <v>0.26666666666666666</v>
      </c>
      <c r="M69" s="25">
        <f t="shared" si="12"/>
        <v>0.33333333333333331</v>
      </c>
      <c r="N69" s="25">
        <f t="shared" si="13"/>
        <v>0.33333333333333331</v>
      </c>
      <c r="O69" s="25">
        <f t="shared" si="14"/>
        <v>3.5999999999999996</v>
      </c>
    </row>
    <row r="70" spans="3:15" x14ac:dyDescent="0.25">
      <c r="C70" s="25">
        <v>8</v>
      </c>
      <c r="D70" s="25">
        <v>8</v>
      </c>
      <c r="E70" s="25">
        <v>5</v>
      </c>
      <c r="F70" s="25">
        <v>4</v>
      </c>
      <c r="G70" s="25">
        <v>1</v>
      </c>
      <c r="H70" s="25">
        <v>10</v>
      </c>
      <c r="I70" s="25">
        <v>8</v>
      </c>
      <c r="J70" s="25">
        <v>7</v>
      </c>
      <c r="K70" s="25">
        <f t="shared" si="10"/>
        <v>0.27586206896551724</v>
      </c>
      <c r="L70" s="25">
        <f t="shared" si="11"/>
        <v>0.13793103448275862</v>
      </c>
      <c r="M70" s="25">
        <f t="shared" si="12"/>
        <v>0.34482758620689657</v>
      </c>
      <c r="N70" s="25">
        <f t="shared" si="13"/>
        <v>0.2413793103448276</v>
      </c>
      <c r="O70" s="25">
        <f t="shared" si="14"/>
        <v>5.1724137931034484</v>
      </c>
    </row>
    <row r="71" spans="3:15" x14ac:dyDescent="0.25">
      <c r="C71" s="25">
        <v>8</v>
      </c>
      <c r="D71" s="25">
        <v>5</v>
      </c>
      <c r="E71" s="25">
        <v>8</v>
      </c>
      <c r="F71" s="25">
        <v>9</v>
      </c>
      <c r="G71" s="25">
        <v>10</v>
      </c>
      <c r="H71" s="25">
        <v>10</v>
      </c>
      <c r="I71" s="25">
        <v>5</v>
      </c>
      <c r="J71" s="25">
        <v>9</v>
      </c>
      <c r="K71" s="25">
        <f t="shared" si="10"/>
        <v>0.15151515151515152</v>
      </c>
      <c r="L71" s="25">
        <f t="shared" si="11"/>
        <v>0.27272727272727271</v>
      </c>
      <c r="M71" s="25">
        <f t="shared" si="12"/>
        <v>0.30303030303030304</v>
      </c>
      <c r="N71" s="25">
        <f t="shared" si="13"/>
        <v>0.27272727272727271</v>
      </c>
      <c r="O71" s="25">
        <f t="shared" si="14"/>
        <v>7.7878787878787872</v>
      </c>
    </row>
    <row r="72" spans="3:15" x14ac:dyDescent="0.25">
      <c r="C72" s="25">
        <v>8</v>
      </c>
      <c r="D72" s="25">
        <v>6</v>
      </c>
      <c r="E72" s="25">
        <v>7</v>
      </c>
      <c r="F72" s="25">
        <v>2</v>
      </c>
      <c r="G72" s="25">
        <v>1</v>
      </c>
      <c r="H72" s="25">
        <v>3</v>
      </c>
      <c r="I72" s="25">
        <v>6</v>
      </c>
      <c r="J72" s="25">
        <v>9</v>
      </c>
      <c r="K72" s="25">
        <f t="shared" si="10"/>
        <v>0.3</v>
      </c>
      <c r="L72" s="25">
        <f t="shared" si="11"/>
        <v>0.1</v>
      </c>
      <c r="M72" s="25">
        <f t="shared" si="12"/>
        <v>0.15</v>
      </c>
      <c r="N72" s="25">
        <f t="shared" si="13"/>
        <v>0.45</v>
      </c>
      <c r="O72" s="25">
        <f t="shared" si="14"/>
        <v>5.95</v>
      </c>
    </row>
    <row r="73" spans="3:15" x14ac:dyDescent="0.25">
      <c r="C73" s="25">
        <v>8</v>
      </c>
      <c r="D73" s="25">
        <v>7</v>
      </c>
      <c r="E73" s="25">
        <v>8</v>
      </c>
      <c r="F73" s="25">
        <v>8</v>
      </c>
      <c r="G73" s="25">
        <v>7</v>
      </c>
      <c r="H73" s="25">
        <v>8</v>
      </c>
      <c r="I73" s="25">
        <v>7</v>
      </c>
      <c r="J73" s="25">
        <v>8</v>
      </c>
      <c r="K73" s="25">
        <f t="shared" si="10"/>
        <v>0.22580645161290322</v>
      </c>
      <c r="L73" s="25">
        <f t="shared" si="11"/>
        <v>0.25806451612903225</v>
      </c>
      <c r="M73" s="25">
        <f t="shared" si="12"/>
        <v>0.25806451612903225</v>
      </c>
      <c r="N73" s="25">
        <f t="shared" si="13"/>
        <v>0.25806451612903225</v>
      </c>
      <c r="O73" s="25">
        <f t="shared" si="14"/>
        <v>7.4838709677419359</v>
      </c>
    </row>
    <row r="74" spans="3:15" x14ac:dyDescent="0.25">
      <c r="C74" s="25">
        <v>10</v>
      </c>
      <c r="D74" s="25">
        <v>10</v>
      </c>
      <c r="E74" s="25">
        <v>1</v>
      </c>
      <c r="F74" s="25">
        <v>10</v>
      </c>
      <c r="G74" s="25">
        <v>7</v>
      </c>
      <c r="H74" s="25">
        <v>10</v>
      </c>
      <c r="I74" s="25">
        <v>8</v>
      </c>
      <c r="J74" s="25">
        <v>1</v>
      </c>
      <c r="K74" s="25">
        <f t="shared" si="10"/>
        <v>0.32258064516129031</v>
      </c>
      <c r="L74" s="25">
        <f t="shared" si="11"/>
        <v>0.32258064516129031</v>
      </c>
      <c r="M74" s="25">
        <f t="shared" si="12"/>
        <v>0.32258064516129031</v>
      </c>
      <c r="N74" s="25">
        <f t="shared" si="13"/>
        <v>3.2258064516129031E-2</v>
      </c>
      <c r="O74" s="25">
        <f t="shared" si="14"/>
        <v>6.064516129032258</v>
      </c>
    </row>
    <row r="75" spans="3:15" x14ac:dyDescent="0.25">
      <c r="C75" s="25">
        <v>6</v>
      </c>
      <c r="D75" s="25">
        <v>10</v>
      </c>
      <c r="E75" s="25">
        <v>10</v>
      </c>
      <c r="F75" s="25">
        <v>10</v>
      </c>
      <c r="G75" s="25">
        <v>7</v>
      </c>
      <c r="H75" s="25">
        <v>5</v>
      </c>
      <c r="I75" s="25">
        <v>5</v>
      </c>
      <c r="J75" s="25">
        <v>7</v>
      </c>
      <c r="K75" s="25">
        <f t="shared" si="10"/>
        <v>0.3125</v>
      </c>
      <c r="L75" s="25">
        <f t="shared" si="11"/>
        <v>0.3125</v>
      </c>
      <c r="M75" s="25">
        <f t="shared" si="12"/>
        <v>0.15625</v>
      </c>
      <c r="N75" s="25">
        <f t="shared" si="13"/>
        <v>0.21875</v>
      </c>
      <c r="O75" s="25">
        <f t="shared" si="14"/>
        <v>7.1875</v>
      </c>
    </row>
    <row r="76" spans="3:15" x14ac:dyDescent="0.25">
      <c r="C76" s="25">
        <v>6</v>
      </c>
      <c r="D76" s="25">
        <v>10</v>
      </c>
      <c r="E76" s="25">
        <v>6</v>
      </c>
      <c r="F76" s="25">
        <v>8</v>
      </c>
      <c r="G76" s="25">
        <v>9</v>
      </c>
      <c r="H76" s="25">
        <v>9</v>
      </c>
      <c r="I76" s="25">
        <v>4</v>
      </c>
      <c r="J76" s="25">
        <v>9</v>
      </c>
      <c r="K76" s="25">
        <f t="shared" si="10"/>
        <v>0.27777777777777779</v>
      </c>
      <c r="L76" s="25">
        <f t="shared" si="11"/>
        <v>0.22222222222222221</v>
      </c>
      <c r="M76" s="25">
        <f t="shared" si="12"/>
        <v>0.25</v>
      </c>
      <c r="N76" s="25">
        <f t="shared" si="13"/>
        <v>0.25</v>
      </c>
      <c r="O76" s="25">
        <f t="shared" si="14"/>
        <v>6.25</v>
      </c>
    </row>
    <row r="77" spans="3:15" x14ac:dyDescent="0.25">
      <c r="C77" s="25">
        <v>9</v>
      </c>
      <c r="D77" s="25">
        <v>7</v>
      </c>
      <c r="E77" s="25">
        <v>6</v>
      </c>
      <c r="F77" s="25">
        <v>7</v>
      </c>
      <c r="G77" s="25">
        <v>6</v>
      </c>
      <c r="H77" s="25">
        <v>10</v>
      </c>
      <c r="I77" s="25">
        <v>8</v>
      </c>
      <c r="J77" s="25">
        <v>8</v>
      </c>
      <c r="K77" s="25">
        <f t="shared" si="10"/>
        <v>0.21875</v>
      </c>
      <c r="L77" s="25">
        <f t="shared" si="11"/>
        <v>0.21875</v>
      </c>
      <c r="M77" s="25">
        <f t="shared" si="12"/>
        <v>0.3125</v>
      </c>
      <c r="N77" s="25">
        <f t="shared" si="13"/>
        <v>0.25</v>
      </c>
      <c r="O77" s="25">
        <f t="shared" si="14"/>
        <v>7.15625</v>
      </c>
    </row>
    <row r="78" spans="3:15" x14ac:dyDescent="0.25">
      <c r="C78" s="25">
        <v>8</v>
      </c>
      <c r="D78" s="25">
        <v>7</v>
      </c>
      <c r="E78" s="25">
        <v>9</v>
      </c>
      <c r="F78" s="25">
        <v>6</v>
      </c>
      <c r="G78" s="25">
        <v>4</v>
      </c>
      <c r="H78" s="25">
        <v>7</v>
      </c>
      <c r="I78" s="25">
        <v>6</v>
      </c>
      <c r="J78" s="25">
        <v>8</v>
      </c>
      <c r="K78" s="25">
        <f t="shared" si="10"/>
        <v>0.25</v>
      </c>
      <c r="L78" s="25">
        <f t="shared" si="11"/>
        <v>0.21428571428571427</v>
      </c>
      <c r="M78" s="25">
        <f t="shared" si="12"/>
        <v>0.25</v>
      </c>
      <c r="N78" s="25">
        <f t="shared" si="13"/>
        <v>0.2857142857142857</v>
      </c>
      <c r="O78" s="25">
        <f t="shared" si="14"/>
        <v>6.6428571428571432</v>
      </c>
    </row>
    <row r="79" spans="3:15" x14ac:dyDescent="0.25">
      <c r="C79" s="25">
        <v>7</v>
      </c>
      <c r="D79" s="25">
        <v>10</v>
      </c>
      <c r="E79" s="25">
        <v>3</v>
      </c>
      <c r="F79" s="25">
        <v>8</v>
      </c>
      <c r="G79" s="25">
        <v>1</v>
      </c>
      <c r="H79" s="25">
        <v>8</v>
      </c>
      <c r="I79" s="25">
        <v>5</v>
      </c>
      <c r="J79" s="25">
        <v>8</v>
      </c>
      <c r="K79" s="25">
        <f t="shared" si="10"/>
        <v>0.29411764705882354</v>
      </c>
      <c r="L79" s="25">
        <f t="shared" si="11"/>
        <v>0.23529411764705882</v>
      </c>
      <c r="M79" s="25">
        <f t="shared" si="12"/>
        <v>0.23529411764705882</v>
      </c>
      <c r="N79" s="25">
        <f t="shared" si="13"/>
        <v>0.23529411764705882</v>
      </c>
      <c r="O79" s="25">
        <f t="shared" si="14"/>
        <v>4.1764705882352944</v>
      </c>
    </row>
    <row r="80" spans="3:15" x14ac:dyDescent="0.25">
      <c r="C80" s="25">
        <v>5</v>
      </c>
      <c r="D80" s="25">
        <v>7</v>
      </c>
      <c r="E80" s="25">
        <v>3</v>
      </c>
      <c r="F80" s="25">
        <v>10</v>
      </c>
      <c r="G80" s="25">
        <v>1</v>
      </c>
      <c r="H80" s="25">
        <v>8</v>
      </c>
      <c r="I80" s="25">
        <v>1</v>
      </c>
      <c r="J80" s="25">
        <v>10</v>
      </c>
      <c r="K80" s="25">
        <f t="shared" si="10"/>
        <v>0.2</v>
      </c>
      <c r="L80" s="25">
        <f t="shared" si="11"/>
        <v>0.2857142857142857</v>
      </c>
      <c r="M80" s="25">
        <f t="shared" si="12"/>
        <v>0.22857142857142856</v>
      </c>
      <c r="N80" s="25">
        <f t="shared" si="13"/>
        <v>0.2857142857142857</v>
      </c>
      <c r="O80" s="25">
        <f t="shared" si="14"/>
        <v>2.3714285714285714</v>
      </c>
    </row>
    <row r="81" spans="3:15" x14ac:dyDescent="0.25">
      <c r="C81" s="25">
        <v>6</v>
      </c>
      <c r="D81" s="25">
        <v>7</v>
      </c>
      <c r="E81" s="25">
        <v>4</v>
      </c>
      <c r="F81" s="25">
        <v>5</v>
      </c>
      <c r="G81" s="25">
        <v>1</v>
      </c>
      <c r="H81" s="25">
        <v>3</v>
      </c>
      <c r="I81" s="25">
        <v>2</v>
      </c>
      <c r="J81" s="25">
        <v>3</v>
      </c>
      <c r="K81" s="25">
        <f t="shared" si="10"/>
        <v>0.3888888888888889</v>
      </c>
      <c r="L81" s="25">
        <f t="shared" si="11"/>
        <v>0.27777777777777779</v>
      </c>
      <c r="M81" s="25">
        <f t="shared" si="12"/>
        <v>0.16666666666666666</v>
      </c>
      <c r="N81" s="25">
        <f t="shared" si="13"/>
        <v>0.16666666666666666</v>
      </c>
      <c r="O81" s="25">
        <f t="shared" si="14"/>
        <v>3.9444444444444446</v>
      </c>
    </row>
    <row r="82" spans="3:15" x14ac:dyDescent="0.25">
      <c r="C82" s="25">
        <v>6</v>
      </c>
      <c r="D82" s="25">
        <v>9</v>
      </c>
      <c r="E82" s="25">
        <v>6</v>
      </c>
      <c r="F82" s="25">
        <v>8</v>
      </c>
      <c r="G82" s="25">
        <v>5</v>
      </c>
      <c r="H82" s="25">
        <v>10</v>
      </c>
      <c r="I82" s="25">
        <v>8</v>
      </c>
      <c r="J82" s="25">
        <v>10</v>
      </c>
      <c r="K82" s="25">
        <f t="shared" si="10"/>
        <v>0.24324324324324326</v>
      </c>
      <c r="L82" s="25">
        <f t="shared" si="11"/>
        <v>0.21621621621621623</v>
      </c>
      <c r="M82" s="25">
        <f t="shared" si="12"/>
        <v>0.27027027027027029</v>
      </c>
      <c r="N82" s="25">
        <f t="shared" si="13"/>
        <v>0.27027027027027029</v>
      </c>
      <c r="O82" s="25">
        <f t="shared" si="14"/>
        <v>6.2702702702702711</v>
      </c>
    </row>
    <row r="83" spans="3:15" x14ac:dyDescent="0.25">
      <c r="C83" s="25">
        <v>10</v>
      </c>
      <c r="D83" s="25">
        <v>7</v>
      </c>
      <c r="E83" s="25">
        <v>8</v>
      </c>
      <c r="F83" s="25">
        <v>8</v>
      </c>
      <c r="G83" s="25">
        <v>3</v>
      </c>
      <c r="H83" s="25">
        <v>9</v>
      </c>
      <c r="I83" s="25">
        <v>3</v>
      </c>
      <c r="J83" s="25">
        <v>4</v>
      </c>
      <c r="K83" s="25">
        <f t="shared" si="10"/>
        <v>0.25</v>
      </c>
      <c r="L83" s="25">
        <f t="shared" si="11"/>
        <v>0.2857142857142857</v>
      </c>
      <c r="M83" s="25">
        <f t="shared" si="12"/>
        <v>0.32142857142857145</v>
      </c>
      <c r="N83" s="25">
        <f t="shared" si="13"/>
        <v>0.14285714285714285</v>
      </c>
      <c r="O83" s="25">
        <f t="shared" si="14"/>
        <v>6.1785714285714288</v>
      </c>
    </row>
    <row r="84" spans="3:15" x14ac:dyDescent="0.25">
      <c r="C84" s="25">
        <v>7</v>
      </c>
      <c r="D84" s="25">
        <v>10</v>
      </c>
      <c r="E84" s="25">
        <v>8</v>
      </c>
      <c r="F84" s="25">
        <v>1</v>
      </c>
      <c r="G84" s="25">
        <v>7</v>
      </c>
      <c r="H84" s="25">
        <v>10</v>
      </c>
      <c r="I84" s="25">
        <v>1</v>
      </c>
      <c r="J84" s="25">
        <v>10</v>
      </c>
      <c r="K84" s="25">
        <f t="shared" si="10"/>
        <v>0.32258064516129031</v>
      </c>
      <c r="L84" s="25">
        <f t="shared" si="11"/>
        <v>3.2258064516129031E-2</v>
      </c>
      <c r="M84" s="25">
        <f t="shared" si="12"/>
        <v>0.32258064516129031</v>
      </c>
      <c r="N84" s="25">
        <f t="shared" si="13"/>
        <v>0.32258064516129031</v>
      </c>
      <c r="O84" s="25">
        <f t="shared" si="14"/>
        <v>5.0967741935483861</v>
      </c>
    </row>
    <row r="85" spans="3:15" x14ac:dyDescent="0.25">
      <c r="C85" s="25">
        <v>7</v>
      </c>
      <c r="D85" s="25">
        <v>9</v>
      </c>
      <c r="E85" s="25">
        <v>6</v>
      </c>
      <c r="F85" s="25">
        <v>5</v>
      </c>
      <c r="G85" s="25">
        <v>9</v>
      </c>
      <c r="H85" s="25">
        <v>8</v>
      </c>
      <c r="I85" s="25">
        <v>8</v>
      </c>
      <c r="J85" s="25">
        <v>9</v>
      </c>
      <c r="K85" s="25">
        <f t="shared" si="10"/>
        <v>0.29032258064516131</v>
      </c>
      <c r="L85" s="25">
        <f t="shared" si="11"/>
        <v>0.16129032258064516</v>
      </c>
      <c r="M85" s="25">
        <f t="shared" si="12"/>
        <v>0.25806451612903225</v>
      </c>
      <c r="N85" s="25">
        <f t="shared" si="13"/>
        <v>0.29032258064516131</v>
      </c>
      <c r="O85" s="25">
        <f t="shared" si="14"/>
        <v>7.6451612903225801</v>
      </c>
    </row>
    <row r="86" spans="3:15" x14ac:dyDescent="0.25">
      <c r="C86" s="25">
        <v>8</v>
      </c>
      <c r="D86" s="25">
        <v>9</v>
      </c>
      <c r="E86" s="25">
        <v>9</v>
      </c>
      <c r="F86" s="25">
        <v>8</v>
      </c>
      <c r="G86" s="25">
        <v>5</v>
      </c>
      <c r="H86" s="25">
        <v>9</v>
      </c>
      <c r="I86" s="25">
        <v>3</v>
      </c>
      <c r="J86" s="25">
        <v>7</v>
      </c>
      <c r="K86" s="25">
        <f t="shared" si="10"/>
        <v>0.27272727272727271</v>
      </c>
      <c r="L86" s="25">
        <f t="shared" si="11"/>
        <v>0.24242424242424243</v>
      </c>
      <c r="M86" s="25">
        <f t="shared" si="12"/>
        <v>0.27272727272727271</v>
      </c>
      <c r="N86" s="25">
        <f t="shared" si="13"/>
        <v>0.21212121212121213</v>
      </c>
      <c r="O86" s="25">
        <f t="shared" si="14"/>
        <v>6.3636363636363633</v>
      </c>
    </row>
    <row r="87" spans="3:15" x14ac:dyDescent="0.25">
      <c r="C87" s="25">
        <v>4</v>
      </c>
      <c r="D87" s="25">
        <v>9</v>
      </c>
      <c r="E87" s="25">
        <v>8</v>
      </c>
      <c r="F87" s="25">
        <v>6</v>
      </c>
      <c r="G87" s="25">
        <v>5</v>
      </c>
      <c r="H87" s="25">
        <v>10</v>
      </c>
      <c r="I87" s="25">
        <v>4</v>
      </c>
      <c r="J87" s="25">
        <v>8</v>
      </c>
      <c r="K87" s="25">
        <f t="shared" si="10"/>
        <v>0.27272727272727271</v>
      </c>
      <c r="L87" s="25">
        <f t="shared" si="11"/>
        <v>0.18181818181818182</v>
      </c>
      <c r="M87" s="25">
        <f t="shared" si="12"/>
        <v>0.30303030303030304</v>
      </c>
      <c r="N87" s="25">
        <f t="shared" si="13"/>
        <v>0.24242424242424243</v>
      </c>
      <c r="O87" s="25">
        <f t="shared" si="14"/>
        <v>5.0303030303030303</v>
      </c>
    </row>
    <row r="88" spans="3:15" x14ac:dyDescent="0.25">
      <c r="C88" s="25">
        <v>4</v>
      </c>
      <c r="D88" s="25">
        <v>7</v>
      </c>
      <c r="E88" s="25">
        <v>6</v>
      </c>
      <c r="F88" s="25">
        <v>7</v>
      </c>
      <c r="G88" s="25">
        <v>8</v>
      </c>
      <c r="H88" s="25">
        <v>8</v>
      </c>
      <c r="I88" s="25">
        <v>4</v>
      </c>
      <c r="J88" s="25">
        <v>4</v>
      </c>
      <c r="K88" s="25">
        <f t="shared" si="10"/>
        <v>0.26923076923076922</v>
      </c>
      <c r="L88" s="25">
        <f t="shared" si="11"/>
        <v>0.26923076923076922</v>
      </c>
      <c r="M88" s="25">
        <f t="shared" si="12"/>
        <v>0.30769230769230771</v>
      </c>
      <c r="N88" s="25">
        <f t="shared" si="13"/>
        <v>0.15384615384615385</v>
      </c>
      <c r="O88" s="25">
        <f t="shared" si="14"/>
        <v>5.7692307692307701</v>
      </c>
    </row>
    <row r="89" spans="3:15" x14ac:dyDescent="0.25">
      <c r="C89" s="25">
        <v>2</v>
      </c>
      <c r="D89" s="25">
        <v>10</v>
      </c>
      <c r="E89" s="25">
        <v>6</v>
      </c>
      <c r="F89" s="25">
        <v>7</v>
      </c>
      <c r="G89" s="25">
        <v>10</v>
      </c>
      <c r="H89" s="25">
        <v>10</v>
      </c>
      <c r="I89" s="25">
        <v>9</v>
      </c>
      <c r="J89" s="25">
        <v>6</v>
      </c>
      <c r="K89" s="25">
        <f t="shared" si="10"/>
        <v>0.30303030303030304</v>
      </c>
      <c r="L89" s="25">
        <f t="shared" si="11"/>
        <v>0.21212121212121213</v>
      </c>
      <c r="M89" s="25">
        <f t="shared" si="12"/>
        <v>0.30303030303030304</v>
      </c>
      <c r="N89" s="25">
        <f t="shared" si="13"/>
        <v>0.18181818181818182</v>
      </c>
      <c r="O89" s="25">
        <f t="shared" si="14"/>
        <v>6.5454545454545459</v>
      </c>
    </row>
    <row r="90" spans="3:15" x14ac:dyDescent="0.25">
      <c r="C90" s="25">
        <v>7</v>
      </c>
      <c r="D90" s="25">
        <v>9</v>
      </c>
      <c r="E90" s="25">
        <v>6</v>
      </c>
      <c r="F90" s="25">
        <v>9</v>
      </c>
      <c r="G90" s="25">
        <v>1</v>
      </c>
      <c r="H90" s="25">
        <v>8</v>
      </c>
      <c r="I90" s="25">
        <v>10</v>
      </c>
      <c r="J90" s="25">
        <v>10</v>
      </c>
      <c r="K90" s="25">
        <f t="shared" si="10"/>
        <v>0.25</v>
      </c>
      <c r="L90" s="25">
        <f t="shared" si="11"/>
        <v>0.25</v>
      </c>
      <c r="M90" s="25">
        <f t="shared" si="12"/>
        <v>0.22222222222222221</v>
      </c>
      <c r="N90" s="25">
        <f t="shared" si="13"/>
        <v>0.27777777777777779</v>
      </c>
      <c r="O90" s="25">
        <f t="shared" si="14"/>
        <v>6.25</v>
      </c>
    </row>
    <row r="91" spans="3:15" x14ac:dyDescent="0.25">
      <c r="C91" s="25">
        <v>10</v>
      </c>
      <c r="D91" s="25">
        <v>10</v>
      </c>
      <c r="E91" s="25">
        <v>10</v>
      </c>
      <c r="F91" s="25">
        <v>1</v>
      </c>
      <c r="G91" s="25">
        <v>1</v>
      </c>
      <c r="H91" s="25">
        <v>10</v>
      </c>
      <c r="I91" s="25">
        <v>1</v>
      </c>
      <c r="J91" s="25">
        <v>3</v>
      </c>
      <c r="K91" s="25">
        <f t="shared" si="10"/>
        <v>0.41666666666666669</v>
      </c>
      <c r="L91" s="25">
        <f t="shared" si="11"/>
        <v>4.1666666666666664E-2</v>
      </c>
      <c r="M91" s="25">
        <f t="shared" si="12"/>
        <v>0.41666666666666669</v>
      </c>
      <c r="N91" s="25">
        <f t="shared" si="13"/>
        <v>0.125</v>
      </c>
      <c r="O91" s="25">
        <f t="shared" si="14"/>
        <v>5.1250000000000009</v>
      </c>
    </row>
    <row r="92" spans="3:15" x14ac:dyDescent="0.25">
      <c r="C92" s="25">
        <v>10</v>
      </c>
      <c r="D92" s="25">
        <v>4</v>
      </c>
      <c r="E92" s="25">
        <v>10</v>
      </c>
      <c r="F92" s="25">
        <v>8</v>
      </c>
      <c r="G92" s="25">
        <v>9</v>
      </c>
      <c r="H92" s="25">
        <v>10</v>
      </c>
      <c r="I92" s="25">
        <v>3</v>
      </c>
      <c r="J92" s="25">
        <v>7</v>
      </c>
      <c r="K92" s="25">
        <f t="shared" si="10"/>
        <v>0.13793103448275862</v>
      </c>
      <c r="L92" s="25">
        <f t="shared" si="11"/>
        <v>0.27586206896551724</v>
      </c>
      <c r="M92" s="25">
        <f t="shared" si="12"/>
        <v>0.34482758620689657</v>
      </c>
      <c r="N92" s="25">
        <f t="shared" si="13"/>
        <v>0.2413793103448276</v>
      </c>
      <c r="O92" s="25">
        <f t="shared" si="14"/>
        <v>7.9655172413793114</v>
      </c>
    </row>
    <row r="93" spans="3:15" x14ac:dyDescent="0.25">
      <c r="C93" s="25">
        <v>10</v>
      </c>
      <c r="D93" s="25">
        <v>10</v>
      </c>
      <c r="E93" s="25">
        <v>5</v>
      </c>
      <c r="F93" s="25">
        <v>8</v>
      </c>
      <c r="G93" s="25">
        <v>3</v>
      </c>
      <c r="H93" s="25">
        <v>10</v>
      </c>
      <c r="I93" s="25">
        <v>1</v>
      </c>
      <c r="J93" s="25">
        <v>2</v>
      </c>
      <c r="K93" s="25">
        <f t="shared" si="10"/>
        <v>0.33333333333333331</v>
      </c>
      <c r="L93" s="25">
        <f t="shared" si="11"/>
        <v>0.26666666666666666</v>
      </c>
      <c r="M93" s="25">
        <f t="shared" si="12"/>
        <v>0.33333333333333331</v>
      </c>
      <c r="N93" s="25">
        <f t="shared" si="13"/>
        <v>6.6666666666666666E-2</v>
      </c>
      <c r="O93" s="25">
        <f t="shared" si="14"/>
        <v>5.7333333333333325</v>
      </c>
    </row>
    <row r="94" spans="3:15" x14ac:dyDescent="0.25">
      <c r="C94" s="25">
        <v>7</v>
      </c>
      <c r="D94" s="25">
        <v>9</v>
      </c>
      <c r="E94" s="25">
        <v>3</v>
      </c>
      <c r="F94" s="25">
        <v>7</v>
      </c>
      <c r="G94" s="25">
        <v>7</v>
      </c>
      <c r="H94" s="25">
        <v>10</v>
      </c>
      <c r="I94" s="25">
        <v>3</v>
      </c>
      <c r="J94" s="25">
        <v>10</v>
      </c>
      <c r="K94" s="25">
        <f t="shared" si="10"/>
        <v>0.25</v>
      </c>
      <c r="L94" s="25">
        <f t="shared" si="11"/>
        <v>0.19444444444444445</v>
      </c>
      <c r="M94" s="25">
        <f t="shared" si="12"/>
        <v>0.27777777777777779</v>
      </c>
      <c r="N94" s="25">
        <f t="shared" si="13"/>
        <v>0.27777777777777779</v>
      </c>
      <c r="O94" s="25">
        <f t="shared" si="14"/>
        <v>5.1111111111111116</v>
      </c>
    </row>
    <row r="95" spans="3:15" x14ac:dyDescent="0.25">
      <c r="C95" s="25">
        <v>8</v>
      </c>
      <c r="D95" s="25">
        <v>10</v>
      </c>
      <c r="E95" s="25">
        <v>6</v>
      </c>
      <c r="F95" s="25">
        <v>9</v>
      </c>
      <c r="G95" s="25">
        <v>9</v>
      </c>
      <c r="H95" s="25">
        <v>9</v>
      </c>
      <c r="I95" s="25">
        <v>4</v>
      </c>
      <c r="J95" s="25">
        <v>7</v>
      </c>
      <c r="K95" s="25">
        <f t="shared" si="10"/>
        <v>0.2857142857142857</v>
      </c>
      <c r="L95" s="25">
        <f t="shared" si="11"/>
        <v>0.25714285714285712</v>
      </c>
      <c r="M95" s="25">
        <f t="shared" si="12"/>
        <v>0.25714285714285712</v>
      </c>
      <c r="N95" s="25">
        <f t="shared" si="13"/>
        <v>0.2</v>
      </c>
      <c r="O95" s="25">
        <f t="shared" si="14"/>
        <v>6.9428571428571422</v>
      </c>
    </row>
    <row r="96" spans="3:15" x14ac:dyDescent="0.25">
      <c r="C96" s="25">
        <v>10</v>
      </c>
      <c r="D96" s="25">
        <v>10</v>
      </c>
      <c r="E96" s="25">
        <v>10</v>
      </c>
      <c r="F96" s="25">
        <v>10</v>
      </c>
      <c r="G96" s="25">
        <v>10</v>
      </c>
      <c r="H96" s="25">
        <v>10</v>
      </c>
      <c r="I96" s="25">
        <v>10</v>
      </c>
      <c r="J96" s="25">
        <v>10</v>
      </c>
      <c r="K96" s="25">
        <f t="shared" si="10"/>
        <v>0.25</v>
      </c>
      <c r="L96" s="25">
        <f t="shared" si="11"/>
        <v>0.25</v>
      </c>
      <c r="M96" s="25">
        <f t="shared" si="12"/>
        <v>0.25</v>
      </c>
      <c r="N96" s="25">
        <f t="shared" si="13"/>
        <v>0.25</v>
      </c>
      <c r="O96" s="25">
        <f t="shared" si="14"/>
        <v>10</v>
      </c>
    </row>
    <row r="97" spans="3:15" x14ac:dyDescent="0.25">
      <c r="C97" s="25">
        <v>8</v>
      </c>
      <c r="D97" s="25">
        <v>5</v>
      </c>
      <c r="E97" s="25">
        <v>6</v>
      </c>
      <c r="F97" s="25">
        <v>10</v>
      </c>
      <c r="G97" s="25">
        <v>7</v>
      </c>
      <c r="H97" s="25">
        <v>9</v>
      </c>
      <c r="I97" s="25">
        <v>4</v>
      </c>
      <c r="J97" s="25">
        <v>6</v>
      </c>
      <c r="K97" s="25">
        <f t="shared" si="10"/>
        <v>0.16666666666666666</v>
      </c>
      <c r="L97" s="25">
        <f t="shared" si="11"/>
        <v>0.33333333333333331</v>
      </c>
      <c r="M97" s="25">
        <f t="shared" si="12"/>
        <v>0.3</v>
      </c>
      <c r="N97" s="25">
        <f t="shared" si="13"/>
        <v>0.2</v>
      </c>
      <c r="O97" s="25">
        <f t="shared" si="14"/>
        <v>6.2333333333333334</v>
      </c>
    </row>
    <row r="98" spans="3:15" x14ac:dyDescent="0.25">
      <c r="C98" s="25">
        <v>3</v>
      </c>
      <c r="D98" s="25">
        <v>8</v>
      </c>
      <c r="E98" s="25">
        <v>3</v>
      </c>
      <c r="F98" s="25">
        <v>10</v>
      </c>
      <c r="G98" s="25">
        <v>1</v>
      </c>
      <c r="H98" s="25">
        <v>10</v>
      </c>
      <c r="I98" s="25">
        <v>4</v>
      </c>
      <c r="J98" s="25">
        <v>8</v>
      </c>
      <c r="K98" s="25">
        <f t="shared" si="10"/>
        <v>0.22222222222222221</v>
      </c>
      <c r="L98" s="25">
        <f t="shared" si="11"/>
        <v>0.27777777777777779</v>
      </c>
      <c r="M98" s="25">
        <f t="shared" si="12"/>
        <v>0.27777777777777779</v>
      </c>
      <c r="N98" s="25">
        <f t="shared" si="13"/>
        <v>0.22222222222222221</v>
      </c>
      <c r="O98" s="25">
        <f t="shared" si="14"/>
        <v>2.6666666666666665</v>
      </c>
    </row>
    <row r="99" spans="3:15" x14ac:dyDescent="0.25">
      <c r="C99" s="25">
        <v>3</v>
      </c>
      <c r="D99" s="25">
        <v>8</v>
      </c>
      <c r="E99" s="25">
        <v>7</v>
      </c>
      <c r="F99" s="25">
        <v>6</v>
      </c>
      <c r="G99" s="25">
        <v>8</v>
      </c>
      <c r="H99" s="25">
        <v>10</v>
      </c>
      <c r="I99" s="25">
        <v>3</v>
      </c>
      <c r="J99" s="25">
        <v>8</v>
      </c>
      <c r="K99" s="25">
        <f t="shared" si="10"/>
        <v>0.25</v>
      </c>
      <c r="L99" s="25">
        <f t="shared" si="11"/>
        <v>0.1875</v>
      </c>
      <c r="M99" s="25">
        <f t="shared" si="12"/>
        <v>0.3125</v>
      </c>
      <c r="N99" s="25">
        <f t="shared" si="13"/>
        <v>0.25</v>
      </c>
      <c r="O99" s="25">
        <f t="shared" si="14"/>
        <v>5.3125</v>
      </c>
    </row>
    <row r="100" spans="3:15" x14ac:dyDescent="0.25">
      <c r="C100" s="25">
        <v>3</v>
      </c>
      <c r="D100" s="25">
        <v>10</v>
      </c>
      <c r="E100" s="25">
        <v>8</v>
      </c>
      <c r="F100" s="25">
        <v>9</v>
      </c>
      <c r="G100" s="25">
        <v>10</v>
      </c>
      <c r="H100" s="25">
        <v>10</v>
      </c>
      <c r="I100" s="25">
        <v>3</v>
      </c>
      <c r="J100" s="25">
        <v>10</v>
      </c>
      <c r="K100" s="25">
        <f t="shared" si="10"/>
        <v>0.25641025641025639</v>
      </c>
      <c r="L100" s="25">
        <f t="shared" si="11"/>
        <v>0.23076923076923078</v>
      </c>
      <c r="M100" s="25">
        <f t="shared" si="12"/>
        <v>0.25641025641025639</v>
      </c>
      <c r="N100" s="25">
        <f t="shared" si="13"/>
        <v>0.25641025641025639</v>
      </c>
      <c r="O100" s="25">
        <f t="shared" si="14"/>
        <v>5.948717948717948</v>
      </c>
    </row>
    <row r="101" spans="3:15" x14ac:dyDescent="0.25">
      <c r="C101" s="25">
        <v>5</v>
      </c>
      <c r="D101" s="25">
        <v>8</v>
      </c>
      <c r="E101" s="25">
        <v>9</v>
      </c>
      <c r="F101" s="25">
        <v>2</v>
      </c>
      <c r="G101" s="25">
        <v>10</v>
      </c>
      <c r="H101" s="25">
        <v>6</v>
      </c>
      <c r="I101" s="25">
        <v>6</v>
      </c>
      <c r="J101" s="25">
        <v>8</v>
      </c>
      <c r="K101" s="25">
        <f t="shared" si="10"/>
        <v>0.33333333333333331</v>
      </c>
      <c r="L101" s="25">
        <f t="shared" si="11"/>
        <v>8.3333333333333329E-2</v>
      </c>
      <c r="M101" s="25">
        <f t="shared" si="12"/>
        <v>0.25</v>
      </c>
      <c r="N101" s="25">
        <f t="shared" si="13"/>
        <v>0.33333333333333331</v>
      </c>
      <c r="O101" s="25">
        <f t="shared" si="14"/>
        <v>6.9166666666666661</v>
      </c>
    </row>
    <row r="102" spans="3:15" x14ac:dyDescent="0.25">
      <c r="C102" s="25">
        <v>6</v>
      </c>
      <c r="D102" s="25">
        <v>9</v>
      </c>
      <c r="E102" s="25">
        <v>8</v>
      </c>
      <c r="F102" s="25">
        <v>7</v>
      </c>
      <c r="G102" s="25">
        <v>2</v>
      </c>
      <c r="H102" s="25">
        <v>2</v>
      </c>
      <c r="I102" s="25">
        <v>7</v>
      </c>
      <c r="J102" s="25">
        <v>5</v>
      </c>
      <c r="K102" s="25">
        <f t="shared" si="10"/>
        <v>0.39130434782608697</v>
      </c>
      <c r="L102" s="25">
        <f t="shared" si="11"/>
        <v>0.30434782608695654</v>
      </c>
      <c r="M102" s="25">
        <f t="shared" si="12"/>
        <v>8.6956521739130432E-2</v>
      </c>
      <c r="N102" s="25">
        <f t="shared" si="13"/>
        <v>0.21739130434782608</v>
      </c>
      <c r="O102" s="25">
        <f t="shared" si="14"/>
        <v>6.4782608695652169</v>
      </c>
    </row>
    <row r="103" spans="3:15" x14ac:dyDescent="0.25">
      <c r="C103" s="25">
        <v>10</v>
      </c>
      <c r="D103" s="25">
        <v>1</v>
      </c>
      <c r="E103" s="25">
        <v>7</v>
      </c>
      <c r="F103" s="25">
        <v>6</v>
      </c>
      <c r="G103" s="25">
        <v>7</v>
      </c>
      <c r="H103" s="25">
        <v>3</v>
      </c>
      <c r="I103" s="25">
        <v>5</v>
      </c>
      <c r="J103" s="25">
        <v>1</v>
      </c>
      <c r="K103" s="25">
        <f t="shared" si="10"/>
        <v>9.0909090909090912E-2</v>
      </c>
      <c r="L103" s="25">
        <f t="shared" si="11"/>
        <v>0.54545454545454541</v>
      </c>
      <c r="M103" s="25">
        <f t="shared" si="12"/>
        <v>0.27272727272727271</v>
      </c>
      <c r="N103" s="25">
        <f t="shared" si="13"/>
        <v>9.0909090909090912E-2</v>
      </c>
      <c r="O103" s="25">
        <f t="shared" si="14"/>
        <v>7.0909090909090899</v>
      </c>
    </row>
    <row r="104" spans="3:15" x14ac:dyDescent="0.25">
      <c r="C104" s="25">
        <v>8</v>
      </c>
      <c r="D104" s="25">
        <v>10</v>
      </c>
      <c r="E104" s="25">
        <v>10</v>
      </c>
      <c r="F104" s="25">
        <v>10</v>
      </c>
      <c r="G104" s="25">
        <v>1</v>
      </c>
      <c r="H104" s="25">
        <v>10</v>
      </c>
      <c r="I104" s="25">
        <v>6</v>
      </c>
      <c r="J104" s="25">
        <v>5</v>
      </c>
      <c r="K104" s="25">
        <f t="shared" si="10"/>
        <v>0.2857142857142857</v>
      </c>
      <c r="L104" s="25">
        <f t="shared" si="11"/>
        <v>0.2857142857142857</v>
      </c>
      <c r="M104" s="25">
        <f t="shared" si="12"/>
        <v>0.2857142857142857</v>
      </c>
      <c r="N104" s="25">
        <f t="shared" si="13"/>
        <v>0.14285714285714285</v>
      </c>
      <c r="O104" s="25">
        <f t="shared" si="14"/>
        <v>6.2857142857142847</v>
      </c>
    </row>
    <row r="105" spans="3:15" x14ac:dyDescent="0.25">
      <c r="C105" s="25">
        <v>8</v>
      </c>
      <c r="D105" s="25">
        <v>10</v>
      </c>
      <c r="E105" s="25">
        <v>8</v>
      </c>
      <c r="F105" s="25">
        <v>6</v>
      </c>
      <c r="G105" s="25">
        <v>9</v>
      </c>
      <c r="H105" s="25">
        <v>6</v>
      </c>
      <c r="I105" s="25">
        <v>10</v>
      </c>
      <c r="J105" s="25">
        <v>3</v>
      </c>
      <c r="K105" s="25">
        <f t="shared" si="10"/>
        <v>0.4</v>
      </c>
      <c r="L105" s="25">
        <f t="shared" si="11"/>
        <v>0.24</v>
      </c>
      <c r="M105" s="25">
        <f t="shared" si="12"/>
        <v>0.24</v>
      </c>
      <c r="N105" s="25">
        <f t="shared" si="13"/>
        <v>0.12</v>
      </c>
      <c r="O105" s="25">
        <f t="shared" si="14"/>
        <v>8.48</v>
      </c>
    </row>
    <row r="106" spans="3:15" x14ac:dyDescent="0.25">
      <c r="C106" s="25">
        <v>4</v>
      </c>
      <c r="D106" s="25">
        <v>9</v>
      </c>
      <c r="E106" s="25">
        <v>7</v>
      </c>
      <c r="F106" s="25">
        <v>10</v>
      </c>
      <c r="G106" s="25">
        <v>7</v>
      </c>
      <c r="H106" s="25">
        <v>10</v>
      </c>
      <c r="I106" s="25">
        <v>2</v>
      </c>
      <c r="J106" s="25">
        <v>8</v>
      </c>
      <c r="K106" s="25">
        <f t="shared" ref="K106:K131" si="15">D106/(D106+F106+H106+J106)</f>
        <v>0.24324324324324326</v>
      </c>
      <c r="L106" s="25">
        <f t="shared" ref="L106:L131" si="16">F106/(D106+F106+H106+J106)</f>
        <v>0.27027027027027029</v>
      </c>
      <c r="M106" s="25">
        <f t="shared" ref="M106:M131" si="17">H106/(D106+F106+H106+J106)</f>
        <v>0.27027027027027029</v>
      </c>
      <c r="N106" s="25">
        <f t="shared" ref="N106:N131" si="18">J106/(D106+F106+H106+J106)</f>
        <v>0.21621621621621623</v>
      </c>
      <c r="O106" s="25">
        <f t="shared" ref="O106:O131" si="19">(C106*K106)+(E106*L106)+(G106*M106)+(I106*N106)</f>
        <v>5.1891891891891895</v>
      </c>
    </row>
    <row r="107" spans="3:15" x14ac:dyDescent="0.25">
      <c r="C107" s="25">
        <v>3</v>
      </c>
      <c r="D107" s="25">
        <v>9</v>
      </c>
      <c r="E107" s="25">
        <v>7</v>
      </c>
      <c r="F107" s="25">
        <v>10</v>
      </c>
      <c r="G107" s="25">
        <v>1</v>
      </c>
      <c r="H107" s="25">
        <v>10</v>
      </c>
      <c r="I107" s="25">
        <v>6</v>
      </c>
      <c r="J107" s="25">
        <v>8</v>
      </c>
      <c r="K107" s="25">
        <f t="shared" si="15"/>
        <v>0.24324324324324326</v>
      </c>
      <c r="L107" s="25">
        <f t="shared" si="16"/>
        <v>0.27027027027027029</v>
      </c>
      <c r="M107" s="25">
        <f t="shared" si="17"/>
        <v>0.27027027027027029</v>
      </c>
      <c r="N107" s="25">
        <f t="shared" si="18"/>
        <v>0.21621621621621623</v>
      </c>
      <c r="O107" s="25">
        <f t="shared" si="19"/>
        <v>4.1891891891891895</v>
      </c>
    </row>
    <row r="108" spans="3:15" x14ac:dyDescent="0.25">
      <c r="C108" s="25">
        <v>8</v>
      </c>
      <c r="D108" s="25">
        <v>10</v>
      </c>
      <c r="E108" s="25">
        <v>5</v>
      </c>
      <c r="F108" s="25">
        <v>10</v>
      </c>
      <c r="G108" s="25">
        <v>9</v>
      </c>
      <c r="H108" s="25">
        <v>10</v>
      </c>
      <c r="I108" s="25">
        <v>7</v>
      </c>
      <c r="J108" s="25">
        <v>9</v>
      </c>
      <c r="K108" s="25">
        <f t="shared" si="15"/>
        <v>0.25641025641025639</v>
      </c>
      <c r="L108" s="25">
        <f t="shared" si="16"/>
        <v>0.25641025641025639</v>
      </c>
      <c r="M108" s="25">
        <f t="shared" si="17"/>
        <v>0.25641025641025639</v>
      </c>
      <c r="N108" s="25">
        <f t="shared" si="18"/>
        <v>0.23076923076923078</v>
      </c>
      <c r="O108" s="25">
        <f t="shared" si="19"/>
        <v>7.2564102564102555</v>
      </c>
    </row>
    <row r="109" spans="3:15" x14ac:dyDescent="0.25">
      <c r="C109" s="25">
        <v>8</v>
      </c>
      <c r="D109" s="25">
        <v>5</v>
      </c>
      <c r="E109" s="25">
        <v>7</v>
      </c>
      <c r="F109" s="25">
        <v>9</v>
      </c>
      <c r="G109" s="25">
        <v>8</v>
      </c>
      <c r="H109" s="25">
        <v>9</v>
      </c>
      <c r="I109" s="25">
        <v>4</v>
      </c>
      <c r="J109" s="25">
        <v>8</v>
      </c>
      <c r="K109" s="25">
        <f t="shared" si="15"/>
        <v>0.16129032258064516</v>
      </c>
      <c r="L109" s="25">
        <f t="shared" si="16"/>
        <v>0.29032258064516131</v>
      </c>
      <c r="M109" s="25">
        <f t="shared" si="17"/>
        <v>0.29032258064516131</v>
      </c>
      <c r="N109" s="25">
        <f t="shared" si="18"/>
        <v>0.25806451612903225</v>
      </c>
      <c r="O109" s="25">
        <f t="shared" si="19"/>
        <v>6.6774193548387091</v>
      </c>
    </row>
    <row r="110" spans="3:15" x14ac:dyDescent="0.25">
      <c r="C110" s="25">
        <v>3</v>
      </c>
      <c r="D110" s="25">
        <v>8</v>
      </c>
      <c r="E110" s="25">
        <v>3</v>
      </c>
      <c r="F110" s="25">
        <v>9</v>
      </c>
      <c r="G110" s="25">
        <v>10</v>
      </c>
      <c r="H110" s="25">
        <v>8</v>
      </c>
      <c r="I110" s="25">
        <v>2</v>
      </c>
      <c r="J110" s="25">
        <v>6</v>
      </c>
      <c r="K110" s="25">
        <f t="shared" si="15"/>
        <v>0.25806451612903225</v>
      </c>
      <c r="L110" s="25">
        <f t="shared" si="16"/>
        <v>0.29032258064516131</v>
      </c>
      <c r="M110" s="25">
        <f t="shared" si="17"/>
        <v>0.25806451612903225</v>
      </c>
      <c r="N110" s="25">
        <f t="shared" si="18"/>
        <v>0.19354838709677419</v>
      </c>
      <c r="O110" s="25">
        <f t="shared" si="19"/>
        <v>4.6129032258064511</v>
      </c>
    </row>
    <row r="111" spans="3:15" x14ac:dyDescent="0.25">
      <c r="C111" s="25">
        <v>2</v>
      </c>
      <c r="D111" s="25">
        <v>8</v>
      </c>
      <c r="E111" s="25">
        <v>8</v>
      </c>
      <c r="F111" s="25">
        <v>5</v>
      </c>
      <c r="G111" s="25">
        <v>10</v>
      </c>
      <c r="H111" s="25">
        <v>10</v>
      </c>
      <c r="I111" s="25">
        <v>5</v>
      </c>
      <c r="J111" s="25">
        <v>5</v>
      </c>
      <c r="K111" s="25">
        <f t="shared" si="15"/>
        <v>0.2857142857142857</v>
      </c>
      <c r="L111" s="25">
        <f t="shared" si="16"/>
        <v>0.17857142857142858</v>
      </c>
      <c r="M111" s="25">
        <f t="shared" si="17"/>
        <v>0.35714285714285715</v>
      </c>
      <c r="N111" s="25">
        <f t="shared" si="18"/>
        <v>0.17857142857142858</v>
      </c>
      <c r="O111" s="25">
        <f t="shared" si="19"/>
        <v>6.4642857142857144</v>
      </c>
    </row>
    <row r="112" spans="3:15" x14ac:dyDescent="0.25">
      <c r="C112" s="25">
        <v>6</v>
      </c>
      <c r="D112" s="25">
        <v>9</v>
      </c>
      <c r="E112" s="25">
        <v>5</v>
      </c>
      <c r="F112" s="25">
        <v>9</v>
      </c>
      <c r="G112" s="25">
        <v>10</v>
      </c>
      <c r="H112" s="25">
        <v>10</v>
      </c>
      <c r="I112" s="25">
        <v>10</v>
      </c>
      <c r="J112" s="25">
        <v>10</v>
      </c>
      <c r="K112" s="25">
        <f t="shared" si="15"/>
        <v>0.23684210526315788</v>
      </c>
      <c r="L112" s="25">
        <f t="shared" si="16"/>
        <v>0.23684210526315788</v>
      </c>
      <c r="M112" s="25">
        <f t="shared" si="17"/>
        <v>0.26315789473684209</v>
      </c>
      <c r="N112" s="25">
        <f t="shared" si="18"/>
        <v>0.26315789473684209</v>
      </c>
      <c r="O112" s="25">
        <f t="shared" si="19"/>
        <v>7.8684210526315788</v>
      </c>
    </row>
    <row r="113" spans="3:15" x14ac:dyDescent="0.25">
      <c r="C113" s="25">
        <v>1</v>
      </c>
      <c r="D113" s="25">
        <v>10</v>
      </c>
      <c r="E113" s="25">
        <v>10</v>
      </c>
      <c r="F113" s="25">
        <v>10</v>
      </c>
      <c r="G113" s="25">
        <v>6</v>
      </c>
      <c r="H113" s="25">
        <v>10</v>
      </c>
      <c r="I113" s="25">
        <v>2</v>
      </c>
      <c r="J113" s="25">
        <v>5</v>
      </c>
      <c r="K113" s="25">
        <f t="shared" si="15"/>
        <v>0.2857142857142857</v>
      </c>
      <c r="L113" s="25">
        <f t="shared" si="16"/>
        <v>0.2857142857142857</v>
      </c>
      <c r="M113" s="25">
        <f t="shared" si="17"/>
        <v>0.2857142857142857</v>
      </c>
      <c r="N113" s="25">
        <f t="shared" si="18"/>
        <v>0.14285714285714285</v>
      </c>
      <c r="O113" s="25">
        <f t="shared" si="19"/>
        <v>5.1428571428571423</v>
      </c>
    </row>
    <row r="114" spans="3:15" x14ac:dyDescent="0.25">
      <c r="C114" s="25">
        <v>8</v>
      </c>
      <c r="D114" s="25">
        <v>9</v>
      </c>
      <c r="E114" s="25">
        <v>6</v>
      </c>
      <c r="F114" s="25">
        <v>7</v>
      </c>
      <c r="G114" s="25">
        <v>10</v>
      </c>
      <c r="H114" s="25">
        <v>9</v>
      </c>
      <c r="I114" s="25">
        <v>9</v>
      </c>
      <c r="J114" s="25">
        <v>9</v>
      </c>
      <c r="K114" s="25">
        <f t="shared" si="15"/>
        <v>0.26470588235294118</v>
      </c>
      <c r="L114" s="25">
        <f t="shared" si="16"/>
        <v>0.20588235294117646</v>
      </c>
      <c r="M114" s="25">
        <f t="shared" si="17"/>
        <v>0.26470588235294118</v>
      </c>
      <c r="N114" s="25">
        <f t="shared" si="18"/>
        <v>0.26470588235294118</v>
      </c>
      <c r="O114" s="25">
        <f t="shared" si="19"/>
        <v>8.382352941176471</v>
      </c>
    </row>
    <row r="115" spans="3:15" x14ac:dyDescent="0.25">
      <c r="C115" s="25">
        <v>5</v>
      </c>
      <c r="D115" s="25">
        <v>5</v>
      </c>
      <c r="E115" s="25">
        <v>4</v>
      </c>
      <c r="F115" s="25">
        <v>8</v>
      </c>
      <c r="G115" s="25">
        <v>1</v>
      </c>
      <c r="H115" s="25">
        <v>9</v>
      </c>
      <c r="I115" s="25">
        <v>7</v>
      </c>
      <c r="J115" s="25">
        <v>9</v>
      </c>
      <c r="K115" s="25">
        <f t="shared" si="15"/>
        <v>0.16129032258064516</v>
      </c>
      <c r="L115" s="25">
        <f t="shared" si="16"/>
        <v>0.25806451612903225</v>
      </c>
      <c r="M115" s="25">
        <f t="shared" si="17"/>
        <v>0.29032258064516131</v>
      </c>
      <c r="N115" s="25">
        <f t="shared" si="18"/>
        <v>0.29032258064516131</v>
      </c>
      <c r="O115" s="25">
        <f t="shared" si="19"/>
        <v>4.161290322580645</v>
      </c>
    </row>
    <row r="116" spans="3:15" x14ac:dyDescent="0.25">
      <c r="C116" s="25">
        <v>9</v>
      </c>
      <c r="D116" s="25">
        <v>10</v>
      </c>
      <c r="E116" s="25">
        <v>8</v>
      </c>
      <c r="F116" s="25">
        <v>10</v>
      </c>
      <c r="G116" s="25">
        <v>4</v>
      </c>
      <c r="H116" s="25">
        <v>7</v>
      </c>
      <c r="I116" s="25">
        <v>8</v>
      </c>
      <c r="J116" s="25">
        <v>10</v>
      </c>
      <c r="K116" s="25">
        <f t="shared" si="15"/>
        <v>0.27027027027027029</v>
      </c>
      <c r="L116" s="25">
        <f t="shared" si="16"/>
        <v>0.27027027027027029</v>
      </c>
      <c r="M116" s="25">
        <f t="shared" si="17"/>
        <v>0.1891891891891892</v>
      </c>
      <c r="N116" s="25">
        <f t="shared" si="18"/>
        <v>0.27027027027027029</v>
      </c>
      <c r="O116" s="25">
        <f t="shared" si="19"/>
        <v>7.513513513513514</v>
      </c>
    </row>
    <row r="117" spans="3:15" x14ac:dyDescent="0.25">
      <c r="C117" s="25">
        <v>8</v>
      </c>
      <c r="D117" s="25">
        <v>10</v>
      </c>
      <c r="E117" s="25">
        <v>8</v>
      </c>
      <c r="F117" s="25">
        <v>10</v>
      </c>
      <c r="G117" s="25">
        <v>1</v>
      </c>
      <c r="H117" s="25">
        <v>7</v>
      </c>
      <c r="I117" s="25">
        <v>5</v>
      </c>
      <c r="J117" s="25">
        <v>6</v>
      </c>
      <c r="K117" s="25">
        <f t="shared" si="15"/>
        <v>0.30303030303030304</v>
      </c>
      <c r="L117" s="25">
        <f t="shared" si="16"/>
        <v>0.30303030303030304</v>
      </c>
      <c r="M117" s="25">
        <f t="shared" si="17"/>
        <v>0.21212121212121213</v>
      </c>
      <c r="N117" s="25">
        <f t="shared" si="18"/>
        <v>0.18181818181818182</v>
      </c>
      <c r="O117" s="25">
        <f t="shared" si="19"/>
        <v>5.9696969696969697</v>
      </c>
    </row>
    <row r="118" spans="3:15" x14ac:dyDescent="0.25">
      <c r="C118" s="25">
        <v>8</v>
      </c>
      <c r="D118" s="25">
        <v>6</v>
      </c>
      <c r="E118" s="25">
        <v>1</v>
      </c>
      <c r="F118" s="25">
        <v>3</v>
      </c>
      <c r="G118" s="25">
        <v>3</v>
      </c>
      <c r="H118" s="25">
        <v>4</v>
      </c>
      <c r="I118" s="25">
        <v>6</v>
      </c>
      <c r="J118" s="25">
        <v>5</v>
      </c>
      <c r="K118" s="25">
        <f t="shared" si="15"/>
        <v>0.33333333333333331</v>
      </c>
      <c r="L118" s="25">
        <f t="shared" si="16"/>
        <v>0.16666666666666666</v>
      </c>
      <c r="M118" s="25">
        <f t="shared" si="17"/>
        <v>0.22222222222222221</v>
      </c>
      <c r="N118" s="25">
        <f t="shared" si="18"/>
        <v>0.27777777777777779</v>
      </c>
      <c r="O118" s="25">
        <f t="shared" si="19"/>
        <v>5.1666666666666661</v>
      </c>
    </row>
    <row r="119" spans="3:15" x14ac:dyDescent="0.25">
      <c r="C119" s="25">
        <v>7</v>
      </c>
      <c r="D119" s="25">
        <v>8</v>
      </c>
      <c r="E119" s="25">
        <v>6</v>
      </c>
      <c r="F119" s="25">
        <v>9</v>
      </c>
      <c r="G119" s="25">
        <v>6</v>
      </c>
      <c r="H119" s="25">
        <v>5</v>
      </c>
      <c r="I119" s="25">
        <v>4</v>
      </c>
      <c r="J119" s="25">
        <v>6</v>
      </c>
      <c r="K119" s="25">
        <f t="shared" si="15"/>
        <v>0.2857142857142857</v>
      </c>
      <c r="L119" s="25">
        <f t="shared" si="16"/>
        <v>0.32142857142857145</v>
      </c>
      <c r="M119" s="25">
        <f t="shared" si="17"/>
        <v>0.17857142857142858</v>
      </c>
      <c r="N119" s="25">
        <f t="shared" si="18"/>
        <v>0.21428571428571427</v>
      </c>
      <c r="O119" s="25">
        <f t="shared" si="19"/>
        <v>5.8571428571428568</v>
      </c>
    </row>
    <row r="120" spans="3:15" x14ac:dyDescent="0.25">
      <c r="C120" s="25">
        <v>6</v>
      </c>
      <c r="D120" s="25">
        <v>10</v>
      </c>
      <c r="E120" s="25">
        <v>7</v>
      </c>
      <c r="F120" s="25">
        <v>9</v>
      </c>
      <c r="G120" s="25">
        <v>6</v>
      </c>
      <c r="H120" s="25">
        <v>10</v>
      </c>
      <c r="I120" s="25">
        <v>8</v>
      </c>
      <c r="J120" s="25">
        <v>8</v>
      </c>
      <c r="K120" s="25">
        <f t="shared" si="15"/>
        <v>0.27027027027027029</v>
      </c>
      <c r="L120" s="25">
        <f t="shared" si="16"/>
        <v>0.24324324324324326</v>
      </c>
      <c r="M120" s="25">
        <f t="shared" si="17"/>
        <v>0.27027027027027029</v>
      </c>
      <c r="N120" s="25">
        <f t="shared" si="18"/>
        <v>0.21621621621621623</v>
      </c>
      <c r="O120" s="25">
        <f t="shared" si="19"/>
        <v>6.6756756756756763</v>
      </c>
    </row>
    <row r="121" spans="3:15" x14ac:dyDescent="0.25">
      <c r="C121" s="25">
        <v>9</v>
      </c>
      <c r="D121" s="25">
        <v>8</v>
      </c>
      <c r="E121" s="25">
        <v>9</v>
      </c>
      <c r="F121" s="25">
        <v>3</v>
      </c>
      <c r="G121" s="25">
        <v>1</v>
      </c>
      <c r="H121" s="25">
        <v>3</v>
      </c>
      <c r="I121" s="25">
        <v>1</v>
      </c>
      <c r="J121" s="25">
        <v>2</v>
      </c>
      <c r="K121" s="25">
        <f t="shared" si="15"/>
        <v>0.5</v>
      </c>
      <c r="L121" s="25">
        <f t="shared" si="16"/>
        <v>0.1875</v>
      </c>
      <c r="M121" s="25">
        <f t="shared" si="17"/>
        <v>0.1875</v>
      </c>
      <c r="N121" s="25">
        <f t="shared" si="18"/>
        <v>0.125</v>
      </c>
      <c r="O121" s="25">
        <f t="shared" si="19"/>
        <v>6.5</v>
      </c>
    </row>
    <row r="122" spans="3:15" x14ac:dyDescent="0.25">
      <c r="C122" s="25">
        <v>10</v>
      </c>
      <c r="D122" s="25">
        <v>7</v>
      </c>
      <c r="E122" s="25">
        <v>1</v>
      </c>
      <c r="F122" s="25">
        <v>9</v>
      </c>
      <c r="G122" s="25">
        <v>1</v>
      </c>
      <c r="H122" s="25">
        <v>10</v>
      </c>
      <c r="I122" s="25">
        <v>5</v>
      </c>
      <c r="J122" s="25">
        <v>6</v>
      </c>
      <c r="K122" s="25">
        <f t="shared" si="15"/>
        <v>0.21875</v>
      </c>
      <c r="L122" s="25">
        <f t="shared" si="16"/>
        <v>0.28125</v>
      </c>
      <c r="M122" s="25">
        <f t="shared" si="17"/>
        <v>0.3125</v>
      </c>
      <c r="N122" s="25">
        <f t="shared" si="18"/>
        <v>0.1875</v>
      </c>
      <c r="O122" s="25">
        <f t="shared" si="19"/>
        <v>3.71875</v>
      </c>
    </row>
    <row r="123" spans="3:15" x14ac:dyDescent="0.25">
      <c r="C123" s="25">
        <v>8</v>
      </c>
      <c r="D123" s="25">
        <v>10</v>
      </c>
      <c r="E123" s="25">
        <v>7</v>
      </c>
      <c r="F123" s="25">
        <v>8</v>
      </c>
      <c r="G123" s="25">
        <v>10</v>
      </c>
      <c r="H123" s="25">
        <v>8</v>
      </c>
      <c r="I123" s="25">
        <v>9</v>
      </c>
      <c r="J123" s="25">
        <v>9</v>
      </c>
      <c r="K123" s="25">
        <f t="shared" si="15"/>
        <v>0.2857142857142857</v>
      </c>
      <c r="L123" s="25">
        <f t="shared" si="16"/>
        <v>0.22857142857142856</v>
      </c>
      <c r="M123" s="25">
        <f t="shared" si="17"/>
        <v>0.22857142857142856</v>
      </c>
      <c r="N123" s="25">
        <f t="shared" si="18"/>
        <v>0.25714285714285712</v>
      </c>
      <c r="O123" s="25">
        <f t="shared" si="19"/>
        <v>8.485714285714284</v>
      </c>
    </row>
    <row r="124" spans="3:15" x14ac:dyDescent="0.25">
      <c r="C124" s="25">
        <v>8</v>
      </c>
      <c r="D124" s="25">
        <v>10</v>
      </c>
      <c r="E124" s="25">
        <v>5</v>
      </c>
      <c r="F124" s="25">
        <v>8</v>
      </c>
      <c r="G124" s="25">
        <v>1</v>
      </c>
      <c r="H124" s="25">
        <v>8</v>
      </c>
      <c r="I124" s="25">
        <v>5</v>
      </c>
      <c r="J124" s="25">
        <v>8</v>
      </c>
      <c r="K124" s="25">
        <f t="shared" si="15"/>
        <v>0.29411764705882354</v>
      </c>
      <c r="L124" s="25">
        <f t="shared" si="16"/>
        <v>0.23529411764705882</v>
      </c>
      <c r="M124" s="25">
        <f t="shared" si="17"/>
        <v>0.23529411764705882</v>
      </c>
      <c r="N124" s="25">
        <f t="shared" si="18"/>
        <v>0.23529411764705882</v>
      </c>
      <c r="O124" s="25">
        <f t="shared" si="19"/>
        <v>4.9411764705882355</v>
      </c>
    </row>
    <row r="125" spans="3:15" x14ac:dyDescent="0.25">
      <c r="C125" s="25">
        <v>9</v>
      </c>
      <c r="D125" s="25">
        <v>9</v>
      </c>
      <c r="E125" s="25">
        <v>8</v>
      </c>
      <c r="F125" s="25">
        <v>7</v>
      </c>
      <c r="G125" s="25">
        <v>1</v>
      </c>
      <c r="H125" s="25">
        <v>9</v>
      </c>
      <c r="I125" s="25">
        <v>7</v>
      </c>
      <c r="J125" s="25">
        <v>10</v>
      </c>
      <c r="K125" s="25">
        <f t="shared" si="15"/>
        <v>0.25714285714285712</v>
      </c>
      <c r="L125" s="25">
        <f t="shared" si="16"/>
        <v>0.2</v>
      </c>
      <c r="M125" s="25">
        <f t="shared" si="17"/>
        <v>0.25714285714285712</v>
      </c>
      <c r="N125" s="25">
        <f t="shared" si="18"/>
        <v>0.2857142857142857</v>
      </c>
      <c r="O125" s="25">
        <f t="shared" si="19"/>
        <v>6.1714285714285708</v>
      </c>
    </row>
    <row r="126" spans="3:15" x14ac:dyDescent="0.25">
      <c r="C126" s="25">
        <v>10</v>
      </c>
      <c r="D126" s="25">
        <v>10</v>
      </c>
      <c r="E126" s="25">
        <v>10</v>
      </c>
      <c r="F126" s="25">
        <v>10</v>
      </c>
      <c r="G126" s="25">
        <v>10</v>
      </c>
      <c r="H126" s="25">
        <v>10</v>
      </c>
      <c r="I126" s="25">
        <v>10</v>
      </c>
      <c r="J126" s="25">
        <v>10</v>
      </c>
      <c r="K126" s="25">
        <f t="shared" si="15"/>
        <v>0.25</v>
      </c>
      <c r="L126" s="25">
        <f t="shared" si="16"/>
        <v>0.25</v>
      </c>
      <c r="M126" s="25">
        <f t="shared" si="17"/>
        <v>0.25</v>
      </c>
      <c r="N126" s="25">
        <f t="shared" si="18"/>
        <v>0.25</v>
      </c>
      <c r="O126" s="25">
        <f t="shared" si="19"/>
        <v>10</v>
      </c>
    </row>
    <row r="127" spans="3:15" x14ac:dyDescent="0.25">
      <c r="C127" s="25">
        <v>7</v>
      </c>
      <c r="D127" s="25">
        <v>9</v>
      </c>
      <c r="E127" s="25">
        <v>8</v>
      </c>
      <c r="F127" s="25">
        <v>7</v>
      </c>
      <c r="G127" s="25">
        <v>10</v>
      </c>
      <c r="H127" s="25">
        <v>10</v>
      </c>
      <c r="I127" s="25">
        <v>8</v>
      </c>
      <c r="J127" s="25">
        <v>6</v>
      </c>
      <c r="K127" s="25">
        <f t="shared" si="15"/>
        <v>0.28125</v>
      </c>
      <c r="L127" s="25">
        <f t="shared" si="16"/>
        <v>0.21875</v>
      </c>
      <c r="M127" s="25">
        <f t="shared" si="17"/>
        <v>0.3125</v>
      </c>
      <c r="N127" s="25">
        <f t="shared" si="18"/>
        <v>0.1875</v>
      </c>
      <c r="O127" s="25">
        <f t="shared" si="19"/>
        <v>8.34375</v>
      </c>
    </row>
    <row r="128" spans="3:15" x14ac:dyDescent="0.25">
      <c r="C128" s="25">
        <v>8</v>
      </c>
      <c r="D128" s="25">
        <v>10</v>
      </c>
      <c r="E128" s="25">
        <v>5</v>
      </c>
      <c r="F128" s="25">
        <v>3</v>
      </c>
      <c r="G128" s="25">
        <v>10</v>
      </c>
      <c r="H128" s="25">
        <v>10</v>
      </c>
      <c r="I128" s="25">
        <v>3</v>
      </c>
      <c r="J128" s="25">
        <v>10</v>
      </c>
      <c r="K128" s="25">
        <f t="shared" si="15"/>
        <v>0.30303030303030304</v>
      </c>
      <c r="L128" s="25">
        <f t="shared" si="16"/>
        <v>9.0909090909090912E-2</v>
      </c>
      <c r="M128" s="25">
        <f t="shared" si="17"/>
        <v>0.30303030303030304</v>
      </c>
      <c r="N128" s="25">
        <f t="shared" si="18"/>
        <v>0.30303030303030304</v>
      </c>
      <c r="O128" s="25">
        <f t="shared" si="19"/>
        <v>6.8181818181818183</v>
      </c>
    </row>
    <row r="129" spans="3:15" x14ac:dyDescent="0.25">
      <c r="C129" s="25">
        <v>10</v>
      </c>
      <c r="D129" s="25">
        <v>10</v>
      </c>
      <c r="E129" s="25">
        <v>4</v>
      </c>
      <c r="F129" s="25">
        <v>6</v>
      </c>
      <c r="G129" s="25">
        <v>1</v>
      </c>
      <c r="H129" s="25">
        <v>10</v>
      </c>
      <c r="I129" s="25">
        <v>4</v>
      </c>
      <c r="J129" s="25">
        <v>8</v>
      </c>
      <c r="K129" s="25">
        <f t="shared" si="15"/>
        <v>0.29411764705882354</v>
      </c>
      <c r="L129" s="25">
        <f t="shared" si="16"/>
        <v>0.17647058823529413</v>
      </c>
      <c r="M129" s="25">
        <f t="shared" si="17"/>
        <v>0.29411764705882354</v>
      </c>
      <c r="N129" s="25">
        <f t="shared" si="18"/>
        <v>0.23529411764705882</v>
      </c>
      <c r="O129" s="25">
        <f t="shared" si="19"/>
        <v>4.882352941176471</v>
      </c>
    </row>
    <row r="130" spans="3:15" x14ac:dyDescent="0.25">
      <c r="C130" s="25">
        <v>10</v>
      </c>
      <c r="D130" s="25">
        <v>7</v>
      </c>
      <c r="E130" s="25">
        <v>10</v>
      </c>
      <c r="F130" s="25">
        <v>7</v>
      </c>
      <c r="G130" s="25">
        <v>10</v>
      </c>
      <c r="H130" s="25">
        <v>7</v>
      </c>
      <c r="I130" s="25">
        <v>7</v>
      </c>
      <c r="J130" s="25">
        <v>5</v>
      </c>
      <c r="K130" s="25">
        <f t="shared" si="15"/>
        <v>0.26923076923076922</v>
      </c>
      <c r="L130" s="25">
        <f t="shared" si="16"/>
        <v>0.26923076923076922</v>
      </c>
      <c r="M130" s="25">
        <f t="shared" si="17"/>
        <v>0.26923076923076922</v>
      </c>
      <c r="N130" s="25">
        <f t="shared" si="18"/>
        <v>0.19230769230769232</v>
      </c>
      <c r="O130" s="25">
        <f t="shared" si="19"/>
        <v>9.4230769230769234</v>
      </c>
    </row>
    <row r="131" spans="3:15" x14ac:dyDescent="0.25">
      <c r="C131" s="25">
        <v>3</v>
      </c>
      <c r="D131" s="25">
        <v>9</v>
      </c>
      <c r="E131" s="25">
        <v>5</v>
      </c>
      <c r="F131" s="25">
        <v>10</v>
      </c>
      <c r="G131" s="25">
        <v>8</v>
      </c>
      <c r="H131" s="25">
        <v>10</v>
      </c>
      <c r="I131" s="25">
        <v>3</v>
      </c>
      <c r="J131" s="25">
        <v>8</v>
      </c>
      <c r="K131" s="25">
        <f t="shared" si="15"/>
        <v>0.24324324324324326</v>
      </c>
      <c r="L131" s="25">
        <f t="shared" si="16"/>
        <v>0.27027027027027029</v>
      </c>
      <c r="M131" s="25">
        <f t="shared" si="17"/>
        <v>0.27027027027027029</v>
      </c>
      <c r="N131" s="25">
        <f t="shared" si="18"/>
        <v>0.21621621621621623</v>
      </c>
      <c r="O131" s="25">
        <f t="shared" si="19"/>
        <v>4.891891891891893</v>
      </c>
    </row>
    <row r="132" spans="3:15" x14ac:dyDescent="0.25">
      <c r="C132" s="25">
        <v>10</v>
      </c>
      <c r="D132" s="25">
        <v>1</v>
      </c>
      <c r="E132" s="25">
        <v>8</v>
      </c>
      <c r="F132" s="25">
        <v>10</v>
      </c>
      <c r="G132" s="25">
        <v>1</v>
      </c>
      <c r="H132" s="25">
        <v>10</v>
      </c>
      <c r="I132" s="25">
        <v>8</v>
      </c>
      <c r="J132" s="25">
        <v>10</v>
      </c>
      <c r="K132" s="25">
        <f t="shared" ref="K132:K139" si="20">D132/(D132+F132+H132+J132)</f>
        <v>3.2258064516129031E-2</v>
      </c>
      <c r="L132" s="25">
        <f t="shared" ref="L132:L139" si="21">F132/(D132+F132+H132+J132)</f>
        <v>0.32258064516129031</v>
      </c>
      <c r="M132" s="25">
        <f t="shared" ref="M132:M139" si="22">H132/(D132+F132+H132+J132)</f>
        <v>0.32258064516129031</v>
      </c>
      <c r="N132" s="25">
        <f t="shared" ref="N132:N139" si="23">J132/(D132+F132+H132+J132)</f>
        <v>0.32258064516129031</v>
      </c>
      <c r="O132" s="25">
        <f t="shared" ref="O132:O139" si="24">(C132*K132)+(E132*L132)+(G132*M132)+(I132*N132)</f>
        <v>5.806451612903226</v>
      </c>
    </row>
    <row r="133" spans="3:15" x14ac:dyDescent="0.25">
      <c r="C133" s="25">
        <v>4</v>
      </c>
      <c r="D133" s="25">
        <v>8</v>
      </c>
      <c r="E133" s="25">
        <v>7</v>
      </c>
      <c r="F133" s="25">
        <v>7</v>
      </c>
      <c r="G133" s="25">
        <v>3</v>
      </c>
      <c r="H133" s="25">
        <v>9</v>
      </c>
      <c r="I133" s="25">
        <v>9</v>
      </c>
      <c r="J133" s="25">
        <v>6</v>
      </c>
      <c r="K133" s="25">
        <f t="shared" si="20"/>
        <v>0.26666666666666666</v>
      </c>
      <c r="L133" s="25">
        <f t="shared" si="21"/>
        <v>0.23333333333333334</v>
      </c>
      <c r="M133" s="25">
        <f t="shared" si="22"/>
        <v>0.3</v>
      </c>
      <c r="N133" s="25">
        <f t="shared" si="23"/>
        <v>0.2</v>
      </c>
      <c r="O133" s="25">
        <f t="shared" si="24"/>
        <v>5.4</v>
      </c>
    </row>
    <row r="134" spans="3:15" x14ac:dyDescent="0.25">
      <c r="C134" s="25">
        <v>7</v>
      </c>
      <c r="D134" s="25">
        <v>5</v>
      </c>
      <c r="E134" s="25">
        <v>9</v>
      </c>
      <c r="F134" s="25">
        <v>8</v>
      </c>
      <c r="G134" s="25">
        <v>10</v>
      </c>
      <c r="H134" s="25">
        <v>10</v>
      </c>
      <c r="I134" s="25">
        <v>8</v>
      </c>
      <c r="J134" s="25">
        <v>8</v>
      </c>
      <c r="K134" s="25">
        <f t="shared" si="20"/>
        <v>0.16129032258064516</v>
      </c>
      <c r="L134" s="25">
        <f t="shared" si="21"/>
        <v>0.25806451612903225</v>
      </c>
      <c r="M134" s="25">
        <f t="shared" si="22"/>
        <v>0.32258064516129031</v>
      </c>
      <c r="N134" s="25">
        <f t="shared" si="23"/>
        <v>0.25806451612903225</v>
      </c>
      <c r="O134" s="25">
        <f t="shared" si="24"/>
        <v>8.741935483870968</v>
      </c>
    </row>
    <row r="135" spans="3:15" x14ac:dyDescent="0.25">
      <c r="C135" s="25">
        <v>10</v>
      </c>
      <c r="D135" s="25">
        <v>10</v>
      </c>
      <c r="E135" s="25">
        <v>10</v>
      </c>
      <c r="F135" s="25">
        <v>10</v>
      </c>
      <c r="G135" s="25">
        <v>8</v>
      </c>
      <c r="H135" s="25">
        <v>10</v>
      </c>
      <c r="I135" s="25">
        <v>7</v>
      </c>
      <c r="J135" s="25">
        <v>10</v>
      </c>
      <c r="K135" s="25">
        <f t="shared" si="20"/>
        <v>0.25</v>
      </c>
      <c r="L135" s="25">
        <f t="shared" si="21"/>
        <v>0.25</v>
      </c>
      <c r="M135" s="25">
        <f t="shared" si="22"/>
        <v>0.25</v>
      </c>
      <c r="N135" s="25">
        <f t="shared" si="23"/>
        <v>0.25</v>
      </c>
      <c r="O135" s="25">
        <f t="shared" si="24"/>
        <v>8.75</v>
      </c>
    </row>
    <row r="136" spans="3:15" x14ac:dyDescent="0.25">
      <c r="C136" s="25">
        <v>8</v>
      </c>
      <c r="D136" s="25">
        <v>10</v>
      </c>
      <c r="E136" s="25">
        <v>7</v>
      </c>
      <c r="F136" s="25">
        <v>7</v>
      </c>
      <c r="G136" s="25">
        <v>7</v>
      </c>
      <c r="H136" s="25">
        <v>10</v>
      </c>
      <c r="I136" s="25">
        <v>8</v>
      </c>
      <c r="J136" s="25">
        <v>7</v>
      </c>
      <c r="K136" s="25">
        <f t="shared" si="20"/>
        <v>0.29411764705882354</v>
      </c>
      <c r="L136" s="25">
        <f t="shared" si="21"/>
        <v>0.20588235294117646</v>
      </c>
      <c r="M136" s="25">
        <f t="shared" si="22"/>
        <v>0.29411764705882354</v>
      </c>
      <c r="N136" s="25">
        <f t="shared" si="23"/>
        <v>0.20588235294117646</v>
      </c>
      <c r="O136" s="25">
        <f t="shared" si="24"/>
        <v>7.5</v>
      </c>
    </row>
    <row r="137" spans="3:15" x14ac:dyDescent="0.25">
      <c r="C137" s="25">
        <v>8</v>
      </c>
      <c r="D137" s="25">
        <v>9</v>
      </c>
      <c r="E137" s="25">
        <v>6</v>
      </c>
      <c r="F137" s="25">
        <v>6</v>
      </c>
      <c r="G137" s="25">
        <v>7</v>
      </c>
      <c r="H137" s="25">
        <v>8</v>
      </c>
      <c r="I137" s="25">
        <v>6</v>
      </c>
      <c r="J137" s="25">
        <v>5</v>
      </c>
      <c r="K137" s="25">
        <f t="shared" si="20"/>
        <v>0.32142857142857145</v>
      </c>
      <c r="L137" s="25">
        <f t="shared" si="21"/>
        <v>0.21428571428571427</v>
      </c>
      <c r="M137" s="25">
        <f t="shared" si="22"/>
        <v>0.2857142857142857</v>
      </c>
      <c r="N137" s="25">
        <f t="shared" si="23"/>
        <v>0.17857142857142858</v>
      </c>
      <c r="O137" s="25">
        <f t="shared" si="24"/>
        <v>6.9285714285714288</v>
      </c>
    </row>
    <row r="138" spans="3:15" x14ac:dyDescent="0.25">
      <c r="C138" s="25">
        <v>4</v>
      </c>
      <c r="D138" s="25">
        <v>10</v>
      </c>
      <c r="E138" s="25">
        <v>5</v>
      </c>
      <c r="F138" s="25">
        <v>8</v>
      </c>
      <c r="G138" s="25">
        <v>7</v>
      </c>
      <c r="H138" s="25">
        <v>10</v>
      </c>
      <c r="I138" s="25">
        <v>10</v>
      </c>
      <c r="J138" s="25">
        <v>10</v>
      </c>
      <c r="K138" s="25">
        <f t="shared" si="20"/>
        <v>0.26315789473684209</v>
      </c>
      <c r="L138" s="25">
        <f t="shared" si="21"/>
        <v>0.21052631578947367</v>
      </c>
      <c r="M138" s="25">
        <f t="shared" si="22"/>
        <v>0.26315789473684209</v>
      </c>
      <c r="N138" s="25">
        <f t="shared" si="23"/>
        <v>0.26315789473684209</v>
      </c>
      <c r="O138" s="25">
        <f t="shared" si="24"/>
        <v>6.5789473684210522</v>
      </c>
    </row>
    <row r="139" spans="3:15" x14ac:dyDescent="0.25">
      <c r="C139" s="25">
        <v>6</v>
      </c>
      <c r="D139" s="25">
        <v>6</v>
      </c>
      <c r="E139" s="25">
        <v>5</v>
      </c>
      <c r="F139" s="25">
        <v>5</v>
      </c>
      <c r="G139" s="25">
        <v>4</v>
      </c>
      <c r="H139" s="25">
        <v>5</v>
      </c>
      <c r="I139" s="25">
        <v>3</v>
      </c>
      <c r="J139" s="25">
        <v>7</v>
      </c>
      <c r="K139" s="25">
        <f t="shared" si="20"/>
        <v>0.2608695652173913</v>
      </c>
      <c r="L139" s="25">
        <f t="shared" si="21"/>
        <v>0.21739130434782608</v>
      </c>
      <c r="M139" s="25">
        <f t="shared" si="22"/>
        <v>0.21739130434782608</v>
      </c>
      <c r="N139" s="25">
        <f t="shared" si="23"/>
        <v>0.30434782608695654</v>
      </c>
      <c r="O139" s="25">
        <f t="shared" si="24"/>
        <v>4.4347826086956523</v>
      </c>
    </row>
    <row r="140" spans="3:15" x14ac:dyDescent="0.25">
      <c r="C140" s="25">
        <v>9</v>
      </c>
      <c r="D140" s="25">
        <v>10</v>
      </c>
      <c r="E140" s="25">
        <v>9</v>
      </c>
      <c r="F140" s="25">
        <v>9</v>
      </c>
      <c r="G140" s="25">
        <v>9</v>
      </c>
      <c r="H140" s="25">
        <v>9</v>
      </c>
      <c r="I140" s="25">
        <v>9</v>
      </c>
      <c r="J140" s="25">
        <v>9</v>
      </c>
      <c r="K140" s="25">
        <f>D140/(D140+F140+H140+J140)</f>
        <v>0.27027027027027029</v>
      </c>
      <c r="L140" s="25">
        <f>F140/(D140+F140+H140+J140)</f>
        <v>0.24324324324324326</v>
      </c>
      <c r="M140" s="25">
        <f>H140/(D140+F140+H140+J140)</f>
        <v>0.24324324324324326</v>
      </c>
      <c r="N140" s="25">
        <f>J140/(D140+F140+H140+J140)</f>
        <v>0.24324324324324326</v>
      </c>
      <c r="O140" s="25">
        <f>(C140*K140)+(E140*L140)+(G140*M140)+(I140*N140)</f>
        <v>9</v>
      </c>
    </row>
    <row r="141" spans="3:15" x14ac:dyDescent="0.25">
      <c r="C141" s="25">
        <v>10</v>
      </c>
      <c r="D141" s="25">
        <v>10</v>
      </c>
      <c r="E141" s="25">
        <v>10</v>
      </c>
      <c r="F141" s="25">
        <v>10</v>
      </c>
      <c r="G141" s="25">
        <v>10</v>
      </c>
      <c r="H141" s="25">
        <v>10</v>
      </c>
      <c r="I141" s="25">
        <v>6</v>
      </c>
      <c r="J141" s="25">
        <v>10</v>
      </c>
      <c r="K141" s="25">
        <f>D141/(D141+F141+H141+J141)</f>
        <v>0.25</v>
      </c>
      <c r="L141" s="25">
        <f>F141/(D141+F141+H141+J141)</f>
        <v>0.25</v>
      </c>
      <c r="M141" s="25">
        <f>H141/(D141+F141+H141+J141)</f>
        <v>0.25</v>
      </c>
      <c r="N141" s="25">
        <f>J141/(D141+F141+H141+J141)</f>
        <v>0.25</v>
      </c>
      <c r="O141" s="25">
        <f>(C141*K141)+(E141*L141)+(G141*M141)+(I141*N141)</f>
        <v>9</v>
      </c>
    </row>
  </sheetData>
  <mergeCells count="3">
    <mergeCell ref="AP24:AP35"/>
    <mergeCell ref="AD35:AE35"/>
    <mergeCell ref="W58:X5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P2P</vt:lpstr>
      <vt:lpstr>ICMR</vt:lpstr>
      <vt:lpstr>States</vt:lpstr>
      <vt:lpstr>Effective Active</vt:lpstr>
      <vt:lpstr>R0</vt:lpstr>
      <vt:lpstr>5DayR0</vt:lpstr>
      <vt:lpstr>QALY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Dasgupta</dc:creator>
  <cp:lastModifiedBy>Ayan Dasgupta</cp:lastModifiedBy>
  <dcterms:created xsi:type="dcterms:W3CDTF">2020-03-24T05:15:56Z</dcterms:created>
  <dcterms:modified xsi:type="dcterms:W3CDTF">2020-04-04T03:30:54Z</dcterms:modified>
</cp:coreProperties>
</file>