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70" windowHeight="81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B71" i="1" s="1"/>
  <c r="B72" i="1"/>
  <c r="B73" i="1"/>
  <c r="J26" i="1"/>
  <c r="J22" i="1"/>
  <c r="B75" i="1"/>
  <c r="B77" i="1"/>
  <c r="B76" i="1"/>
  <c r="B78" i="1" s="1"/>
  <c r="B74" i="1"/>
  <c r="J20" i="1"/>
  <c r="J23" i="1"/>
  <c r="J28" i="1"/>
  <c r="J2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9" i="1"/>
  <c r="C21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20" i="1"/>
  <c r="C19" i="1"/>
  <c r="F19" i="1"/>
  <c r="J24" i="1" s="1"/>
  <c r="P13" i="1"/>
  <c r="O13" i="1"/>
  <c r="N13" i="1"/>
  <c r="N2" i="1"/>
  <c r="P8" i="1"/>
  <c r="O8" i="1"/>
  <c r="N8" i="1"/>
  <c r="L13" i="1"/>
  <c r="J13" i="1"/>
  <c r="K13" i="1" s="1"/>
  <c r="L8" i="1"/>
  <c r="K8" i="1"/>
  <c r="J8" i="1"/>
  <c r="K2" i="1"/>
  <c r="J2" i="1"/>
  <c r="I3" i="1"/>
  <c r="O2" i="1"/>
  <c r="L2" i="1"/>
  <c r="C12" i="1"/>
  <c r="C13" i="1"/>
  <c r="C14" i="1"/>
  <c r="C8" i="1"/>
  <c r="C9" i="1"/>
  <c r="C7" i="1"/>
  <c r="C3" i="1"/>
  <c r="C4" i="1"/>
  <c r="C2" i="1"/>
  <c r="I13" i="1"/>
  <c r="I8" i="1"/>
  <c r="H13" i="1"/>
  <c r="H8" i="1"/>
  <c r="H3" i="1"/>
  <c r="G13" i="1"/>
  <c r="G8" i="1"/>
  <c r="G3" i="1"/>
  <c r="E73" i="1" l="1"/>
  <c r="E71" i="1"/>
  <c r="P2" i="1"/>
</calcChain>
</file>

<file path=xl/sharedStrings.xml><?xml version="1.0" encoding="utf-8"?>
<sst xmlns="http://schemas.openxmlformats.org/spreadsheetml/2006/main" count="44" uniqueCount="39">
  <si>
    <t>Exp1</t>
    <phoneticPr fontId="1" type="noConversion"/>
  </si>
  <si>
    <t>m(g)</t>
    <phoneticPr fontId="1" type="noConversion"/>
  </si>
  <si>
    <t>m(kg)</t>
    <phoneticPr fontId="1" type="noConversion"/>
  </si>
  <si>
    <t>h(cm)</t>
    <phoneticPr fontId="1" type="noConversion"/>
  </si>
  <si>
    <t>h(m)</t>
    <phoneticPr fontId="1" type="noConversion"/>
  </si>
  <si>
    <t>t(s)</t>
    <phoneticPr fontId="1" type="noConversion"/>
  </si>
  <si>
    <t>t^2(s^2)</t>
    <phoneticPr fontId="1" type="noConversion"/>
  </si>
  <si>
    <t>a(m/s^2)</t>
    <phoneticPr fontId="1" type="noConversion"/>
  </si>
  <si>
    <t>r(mm)</t>
    <phoneticPr fontId="1" type="noConversion"/>
  </si>
  <si>
    <t>R(m)</t>
    <phoneticPr fontId="1" type="noConversion"/>
  </si>
  <si>
    <t>M(kg)</t>
    <phoneticPr fontId="1" type="noConversion"/>
  </si>
  <si>
    <t>Iexp(kg*m^2)</t>
    <phoneticPr fontId="1" type="noConversion"/>
  </si>
  <si>
    <t>Itho(kg*m^2)</t>
    <phoneticPr fontId="1" type="noConversion"/>
  </si>
  <si>
    <t>Error(%)</t>
    <phoneticPr fontId="1" type="noConversion"/>
  </si>
  <si>
    <t>Exp2</t>
    <phoneticPr fontId="1" type="noConversion"/>
  </si>
  <si>
    <t>△t(s)</t>
    <phoneticPr fontId="1" type="noConversion"/>
  </si>
  <si>
    <t>sum △t(s)</t>
    <phoneticPr fontId="1" type="noConversion"/>
  </si>
  <si>
    <t>m(g)</t>
    <phoneticPr fontId="1" type="noConversion"/>
  </si>
  <si>
    <t>m(kg)</t>
    <phoneticPr fontId="1" type="noConversion"/>
  </si>
  <si>
    <t>Taverage</t>
    <phoneticPr fontId="1" type="noConversion"/>
  </si>
  <si>
    <t>r(m)</t>
    <phoneticPr fontId="1" type="noConversion"/>
  </si>
  <si>
    <t>α1(rad/s)</t>
    <phoneticPr fontId="1" type="noConversion"/>
  </si>
  <si>
    <t>α2(rad/s)</t>
    <phoneticPr fontId="1" type="noConversion"/>
  </si>
  <si>
    <t>wmax(rad/s)</t>
    <phoneticPr fontId="1" type="noConversion"/>
  </si>
  <si>
    <t>Iexp</t>
    <phoneticPr fontId="1" type="noConversion"/>
  </si>
  <si>
    <t>Itho</t>
    <phoneticPr fontId="1" type="noConversion"/>
  </si>
  <si>
    <t>error(%)</t>
    <phoneticPr fontId="1" type="noConversion"/>
  </si>
  <si>
    <t>exp3</t>
    <phoneticPr fontId="1" type="noConversion"/>
  </si>
  <si>
    <t>E potential</t>
    <phoneticPr fontId="1" type="noConversion"/>
  </si>
  <si>
    <t>E RHS(without f)</t>
    <phoneticPr fontId="1" type="noConversion"/>
  </si>
  <si>
    <t>E RHS(with f)</t>
    <phoneticPr fontId="1" type="noConversion"/>
  </si>
  <si>
    <t>v(rad/s)</t>
    <phoneticPr fontId="1" type="noConversion"/>
  </si>
  <si>
    <t>θ(rad)</t>
    <phoneticPr fontId="1" type="noConversion"/>
  </si>
  <si>
    <t>Zf(N*m)</t>
    <phoneticPr fontId="1" type="noConversion"/>
  </si>
  <si>
    <t>I(without friction)</t>
    <phoneticPr fontId="1" type="noConversion"/>
  </si>
  <si>
    <t>I(with friction)</t>
    <phoneticPr fontId="1" type="noConversion"/>
  </si>
  <si>
    <t>(wtithout f)error(%)</t>
    <phoneticPr fontId="1" type="noConversion"/>
  </si>
  <si>
    <t>(with f)error(%)</t>
    <phoneticPr fontId="1" type="noConversion"/>
  </si>
  <si>
    <t>w(rad/s)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</si>
</sst>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00000"/>
    <numFmt numFmtId="181" formatCode="0.00000"/>
    <numFmt numFmtId="182" formatCode="0.0000"/>
    <numFmt numFmtId="183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sum △t-w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11111111111112"/>
                  <c:y val="0.22673374161563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工作表1!$C$19:$C$25</c:f>
              <c:numCache>
                <c:formatCode>General</c:formatCode>
                <c:ptCount val="7"/>
                <c:pt idx="0">
                  <c:v>1.6439999999999999</c:v>
                </c:pt>
                <c:pt idx="1">
                  <c:v>2.9089999999999998</c:v>
                </c:pt>
                <c:pt idx="2">
                  <c:v>3.9790000000000001</c:v>
                </c:pt>
                <c:pt idx="3">
                  <c:v>4.92</c:v>
                </c:pt>
                <c:pt idx="4">
                  <c:v>5.7720000000000002</c:v>
                </c:pt>
                <c:pt idx="5">
                  <c:v>6.5550000000000006</c:v>
                </c:pt>
                <c:pt idx="6">
                  <c:v>7.2830000000000004</c:v>
                </c:pt>
              </c:numCache>
            </c:numRef>
          </c:xVal>
          <c:yVal>
            <c:numRef>
              <c:f>工作表1!$D$19:$D$25</c:f>
              <c:numCache>
                <c:formatCode>0.000</c:formatCode>
                <c:ptCount val="7"/>
                <c:pt idx="0">
                  <c:v>3.821888872980284</c:v>
                </c:pt>
                <c:pt idx="1">
                  <c:v>4.9669449068613334</c:v>
                </c:pt>
                <c:pt idx="2">
                  <c:v>5.8721358011024165</c:v>
                </c:pt>
                <c:pt idx="3">
                  <c:v>6.6771363519443003</c:v>
                </c:pt>
                <c:pt idx="4">
                  <c:v>7.3746306422295618</c:v>
                </c:pt>
                <c:pt idx="5">
                  <c:v>8.0245023080199047</c:v>
                </c:pt>
                <c:pt idx="6">
                  <c:v>8.630749048323608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70D-9FB1-98A150826D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29833770778653E-4"/>
                  <c:y val="8.3822543015456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工作表1!$C$26:$C$68</c:f>
              <c:numCache>
                <c:formatCode>General</c:formatCode>
                <c:ptCount val="43"/>
                <c:pt idx="0">
                  <c:v>7.9950000000000001</c:v>
                </c:pt>
                <c:pt idx="1">
                  <c:v>8.7100000000000009</c:v>
                </c:pt>
                <c:pt idx="2">
                  <c:v>9.4300000000000015</c:v>
                </c:pt>
                <c:pt idx="3">
                  <c:v>10.153000000000002</c:v>
                </c:pt>
                <c:pt idx="4">
                  <c:v>10.880000000000003</c:v>
                </c:pt>
                <c:pt idx="5">
                  <c:v>11.611000000000002</c:v>
                </c:pt>
                <c:pt idx="6">
                  <c:v>12.346000000000002</c:v>
                </c:pt>
                <c:pt idx="7">
                  <c:v>13.084000000000001</c:v>
                </c:pt>
                <c:pt idx="8">
                  <c:v>13.827000000000002</c:v>
                </c:pt>
                <c:pt idx="9">
                  <c:v>14.574000000000002</c:v>
                </c:pt>
                <c:pt idx="10">
                  <c:v>15.324000000000002</c:v>
                </c:pt>
                <c:pt idx="11">
                  <c:v>16.080000000000002</c:v>
                </c:pt>
                <c:pt idx="12">
                  <c:v>16.839000000000002</c:v>
                </c:pt>
                <c:pt idx="13">
                  <c:v>17.604000000000003</c:v>
                </c:pt>
                <c:pt idx="14">
                  <c:v>18.373000000000001</c:v>
                </c:pt>
                <c:pt idx="15">
                  <c:v>19.147000000000002</c:v>
                </c:pt>
                <c:pt idx="16">
                  <c:v>19.926000000000002</c:v>
                </c:pt>
                <c:pt idx="17">
                  <c:v>20.709000000000003</c:v>
                </c:pt>
                <c:pt idx="18">
                  <c:v>21.499000000000002</c:v>
                </c:pt>
                <c:pt idx="19">
                  <c:v>22.293000000000003</c:v>
                </c:pt>
                <c:pt idx="20">
                  <c:v>23.091000000000001</c:v>
                </c:pt>
                <c:pt idx="21">
                  <c:v>23.895</c:v>
                </c:pt>
                <c:pt idx="22">
                  <c:v>24.702999999999999</c:v>
                </c:pt>
                <c:pt idx="23">
                  <c:v>25.516999999999999</c:v>
                </c:pt>
                <c:pt idx="24">
                  <c:v>26.335999999999999</c:v>
                </c:pt>
                <c:pt idx="25">
                  <c:v>27.158999999999999</c:v>
                </c:pt>
                <c:pt idx="26">
                  <c:v>27.988</c:v>
                </c:pt>
                <c:pt idx="27">
                  <c:v>28.817</c:v>
                </c:pt>
                <c:pt idx="28">
                  <c:v>29.655999999999999</c:v>
                </c:pt>
                <c:pt idx="29">
                  <c:v>30.500999999999998</c:v>
                </c:pt>
                <c:pt idx="30">
                  <c:v>31.352999999999998</c:v>
                </c:pt>
                <c:pt idx="31">
                  <c:v>32.21</c:v>
                </c:pt>
                <c:pt idx="32">
                  <c:v>33.073</c:v>
                </c:pt>
                <c:pt idx="33">
                  <c:v>33.942999999999998</c:v>
                </c:pt>
                <c:pt idx="34">
                  <c:v>34.817999999999998</c:v>
                </c:pt>
                <c:pt idx="35">
                  <c:v>35.699999999999996</c:v>
                </c:pt>
                <c:pt idx="36">
                  <c:v>36.590999999999994</c:v>
                </c:pt>
                <c:pt idx="37">
                  <c:v>37.487999999999992</c:v>
                </c:pt>
                <c:pt idx="38">
                  <c:v>38.392999999999994</c:v>
                </c:pt>
                <c:pt idx="39">
                  <c:v>39.304999999999993</c:v>
                </c:pt>
                <c:pt idx="40">
                  <c:v>40.222999999999992</c:v>
                </c:pt>
                <c:pt idx="41">
                  <c:v>41.148999999999994</c:v>
                </c:pt>
                <c:pt idx="42">
                  <c:v>42.080999999999996</c:v>
                </c:pt>
              </c:numCache>
            </c:numRef>
          </c:xVal>
          <c:yVal>
            <c:numRef>
              <c:f>工作表1!$D$26:$D$68</c:f>
              <c:numCache>
                <c:formatCode>0.000</c:formatCode>
                <c:ptCount val="43"/>
                <c:pt idx="0">
                  <c:v>8.8246984651398694</c:v>
                </c:pt>
                <c:pt idx="1">
                  <c:v>8.7876717582931274</c:v>
                </c:pt>
                <c:pt idx="2">
                  <c:v>8.7266462599716483</c:v>
                </c:pt>
                <c:pt idx="3">
                  <c:v>8.6904361095153337</c:v>
                </c:pt>
                <c:pt idx="4">
                  <c:v>8.6426207801644939</c:v>
                </c:pt>
                <c:pt idx="5">
                  <c:v>8.5953287375917728</c:v>
                </c:pt>
                <c:pt idx="6">
                  <c:v>8.5485514383395724</c:v>
                </c:pt>
                <c:pt idx="7">
                  <c:v>8.5138012292406327</c:v>
                </c:pt>
                <c:pt idx="8">
                  <c:v>8.4565078158540867</c:v>
                </c:pt>
                <c:pt idx="9">
                  <c:v>8.4112253108160466</c:v>
                </c:pt>
                <c:pt idx="10">
                  <c:v>8.3775804095727811</c:v>
                </c:pt>
                <c:pt idx="11">
                  <c:v>8.311091676163473</c:v>
                </c:pt>
                <c:pt idx="12">
                  <c:v>8.2782415114355548</c:v>
                </c:pt>
                <c:pt idx="13">
                  <c:v>8.2133141270321381</c:v>
                </c:pt>
                <c:pt idx="14">
                  <c:v>8.1705920769565488</c:v>
                </c:pt>
                <c:pt idx="15">
                  <c:v>8.1178104743922308</c:v>
                </c:pt>
                <c:pt idx="16">
                  <c:v>8.0657064277016506</c:v>
                </c:pt>
                <c:pt idx="17">
                  <c:v>8.0245023080199047</c:v>
                </c:pt>
                <c:pt idx="18">
                  <c:v>7.9533991230121339</c:v>
                </c:pt>
                <c:pt idx="19">
                  <c:v>7.9133316211329801</c:v>
                </c:pt>
                <c:pt idx="20">
                  <c:v>7.8736657984706593</c:v>
                </c:pt>
                <c:pt idx="21">
                  <c:v>7.8149070984820721</c:v>
                </c:pt>
                <c:pt idx="22">
                  <c:v>7.7762194395786954</c:v>
                </c:pt>
                <c:pt idx="23">
                  <c:v>7.7189008687709908</c:v>
                </c:pt>
                <c:pt idx="24">
                  <c:v>7.6717769318432074</c:v>
                </c:pt>
                <c:pt idx="25">
                  <c:v>7.6344900451756823</c:v>
                </c:pt>
                <c:pt idx="26">
                  <c:v>7.5792343874301409</c:v>
                </c:pt>
                <c:pt idx="27">
                  <c:v>7.5792343874301409</c:v>
                </c:pt>
                <c:pt idx="28">
                  <c:v>7.4888978631461098</c:v>
                </c:pt>
                <c:pt idx="29">
                  <c:v>7.4357222570172619</c:v>
                </c:pt>
                <c:pt idx="30">
                  <c:v>7.3746306422295618</c:v>
                </c:pt>
                <c:pt idx="31">
                  <c:v>7.3316047925082684</c:v>
                </c:pt>
                <c:pt idx="32">
                  <c:v>7.2806318739045031</c:v>
                </c:pt>
                <c:pt idx="33">
                  <c:v>7.2220520772179153</c:v>
                </c:pt>
                <c:pt idx="34">
                  <c:v>7.1807832082052414</c:v>
                </c:pt>
                <c:pt idx="35">
                  <c:v>7.1237928652829776</c:v>
                </c:pt>
                <c:pt idx="36">
                  <c:v>7.0518353615932501</c:v>
                </c:pt>
                <c:pt idx="37">
                  <c:v>7.0046658942916231</c:v>
                </c:pt>
                <c:pt idx="38">
                  <c:v>6.9427461957785477</c:v>
                </c:pt>
                <c:pt idx="39">
                  <c:v>6.8894575736618267</c:v>
                </c:pt>
                <c:pt idx="40">
                  <c:v>6.8444284391934485</c:v>
                </c:pt>
                <c:pt idx="41">
                  <c:v>6.7852973079693149</c:v>
                </c:pt>
                <c:pt idx="42">
                  <c:v>6.7416151364587833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70D-9FB1-98A15082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49840"/>
        <c:axId val="298349424"/>
      </c:scatterChart>
      <c:valAx>
        <c:axId val="2983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sum △t(s)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349424"/>
        <c:crosses val="autoZero"/>
        <c:crossBetween val="midCat"/>
      </c:valAx>
      <c:valAx>
        <c:axId val="298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w(rad/s)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83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17</xdr:row>
      <xdr:rowOff>200025</xdr:rowOff>
    </xdr:from>
    <xdr:to>
      <xdr:col>15</xdr:col>
      <xdr:colOff>690562</xdr:colOff>
      <xdr:row>31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2" workbookViewId="0">
      <selection activeCell="D18" sqref="D18"/>
    </sheetView>
  </sheetViews>
  <sheetFormatPr defaultRowHeight="16.5" x14ac:dyDescent="0.25"/>
  <cols>
    <col min="1" max="1" width="15.5" bestFit="1" customWidth="1"/>
    <col min="4" max="4" width="17.625" bestFit="1" customWidth="1"/>
    <col min="9" max="9" width="12.75" bestFit="1" customWidth="1"/>
    <col min="14" max="14" width="12.875" bestFit="1" customWidth="1"/>
    <col min="15" max="15" width="12.5" bestFit="1" customWidth="1"/>
    <col min="16" max="16" width="9.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1</v>
      </c>
      <c r="B2">
        <v>53.31</v>
      </c>
      <c r="C2">
        <f>B2/1000</f>
        <v>5.3310000000000003E-2</v>
      </c>
      <c r="D2">
        <v>65.3</v>
      </c>
      <c r="E2">
        <v>0.65300000000000002</v>
      </c>
      <c r="F2">
        <v>9.7949999999999999</v>
      </c>
      <c r="J2">
        <f>30.72/2</f>
        <v>15.36</v>
      </c>
      <c r="K2">
        <f>J2/1000</f>
        <v>1.5359999999999999E-2</v>
      </c>
      <c r="L2">
        <f>0.228/2</f>
        <v>0.114</v>
      </c>
      <c r="M2">
        <v>1.3779999999999999</v>
      </c>
      <c r="N2" s="4">
        <f>(C2*9.8-C2*I3)*K2/(I3/K2)</f>
        <v>9.3411697181796649E-3</v>
      </c>
      <c r="O2" s="4">
        <f>(M2*L2*L2)/2</f>
        <v>8.9542440000000001E-3</v>
      </c>
      <c r="P2" s="2">
        <f>(N2-O2)/O2</f>
        <v>4.3211433391770963E-2</v>
      </c>
    </row>
    <row r="3" spans="1:16" x14ac:dyDescent="0.25">
      <c r="A3">
        <v>2</v>
      </c>
      <c r="B3">
        <v>53.31</v>
      </c>
      <c r="C3">
        <f t="shared" ref="C3:C4" si="0">B3/1000</f>
        <v>5.3310000000000003E-2</v>
      </c>
      <c r="D3">
        <v>65.3</v>
      </c>
      <c r="E3">
        <v>0.65300000000000002</v>
      </c>
      <c r="F3">
        <v>9.8469999999999995</v>
      </c>
      <c r="G3" s="7">
        <f>AVERAGE(F2:F4)</f>
        <v>9.9553333333333338</v>
      </c>
      <c r="H3" s="7">
        <f>G3*G3</f>
        <v>99.108661777777783</v>
      </c>
      <c r="I3" s="6">
        <f>2*E3/H3</f>
        <v>1.317745569936484E-2</v>
      </c>
      <c r="N3" s="4"/>
      <c r="O3" s="4"/>
    </row>
    <row r="4" spans="1:16" x14ac:dyDescent="0.25">
      <c r="A4">
        <v>3</v>
      </c>
      <c r="B4">
        <v>53.31</v>
      </c>
      <c r="C4">
        <f t="shared" si="0"/>
        <v>5.3310000000000003E-2</v>
      </c>
      <c r="D4">
        <v>65.3</v>
      </c>
      <c r="E4">
        <v>0.65300000000000002</v>
      </c>
      <c r="F4">
        <v>10.224</v>
      </c>
      <c r="G4" s="7"/>
      <c r="H4" s="7"/>
      <c r="I4" s="6"/>
      <c r="N4" s="4"/>
      <c r="O4" s="4"/>
    </row>
    <row r="5" spans="1:16" x14ac:dyDescent="0.25">
      <c r="G5" s="7"/>
      <c r="H5" s="7"/>
      <c r="I5" s="6"/>
      <c r="N5" s="4"/>
      <c r="O5" s="4"/>
    </row>
    <row r="6" spans="1:16" x14ac:dyDescent="0.25">
      <c r="G6" s="7"/>
      <c r="H6" s="7"/>
      <c r="I6" s="6"/>
      <c r="N6" s="4"/>
      <c r="O6" s="4"/>
    </row>
    <row r="7" spans="1:16" x14ac:dyDescent="0.25">
      <c r="A7">
        <v>1</v>
      </c>
      <c r="B7">
        <v>102.39</v>
      </c>
      <c r="C7">
        <f>B7/1000</f>
        <v>0.10238999999999999</v>
      </c>
      <c r="D7">
        <v>65.3</v>
      </c>
      <c r="E7">
        <v>0.65300000000000002</v>
      </c>
      <c r="F7">
        <v>7.2990000000000004</v>
      </c>
      <c r="G7" s="7"/>
      <c r="H7" s="7"/>
      <c r="I7" s="6"/>
      <c r="N7" s="4"/>
      <c r="O7" s="4"/>
    </row>
    <row r="8" spans="1:16" x14ac:dyDescent="0.25">
      <c r="A8">
        <v>2</v>
      </c>
      <c r="B8">
        <v>102.39</v>
      </c>
      <c r="C8">
        <f t="shared" ref="C8:C9" si="1">B8/1000</f>
        <v>0.10238999999999999</v>
      </c>
      <c r="D8">
        <v>65.3</v>
      </c>
      <c r="E8">
        <v>0.65300000000000002</v>
      </c>
      <c r="F8">
        <v>7.0709999999999997</v>
      </c>
      <c r="G8" s="7">
        <f>AVERAGE(F7:F9)</f>
        <v>7.1703333333333346</v>
      </c>
      <c r="H8" s="7">
        <f>G8*G8</f>
        <v>51.413680111111127</v>
      </c>
      <c r="I8" s="6">
        <f>2*E8/H8</f>
        <v>2.5401799621765597E-2</v>
      </c>
      <c r="J8">
        <f>30.72/2</f>
        <v>15.36</v>
      </c>
      <c r="K8">
        <f>J8/1000</f>
        <v>1.5359999999999999E-2</v>
      </c>
      <c r="L8">
        <f>0.228/2</f>
        <v>0.114</v>
      </c>
      <c r="M8">
        <v>1.3779999999999999</v>
      </c>
      <c r="N8" s="4">
        <f>(C7*9.8-I8)*K8/(I8/K8)</f>
        <v>9.0837624933252023E-3</v>
      </c>
      <c r="O8" s="4">
        <f>M8*L8*L8/2</f>
        <v>8.9542440000000001E-3</v>
      </c>
      <c r="P8" s="2">
        <f>(N8-O8)/O8</f>
        <v>1.4464481124838927E-2</v>
      </c>
    </row>
    <row r="9" spans="1:16" x14ac:dyDescent="0.25">
      <c r="A9">
        <v>3</v>
      </c>
      <c r="B9">
        <v>102.39</v>
      </c>
      <c r="C9">
        <f t="shared" si="1"/>
        <v>0.10238999999999999</v>
      </c>
      <c r="D9">
        <v>65.3</v>
      </c>
      <c r="E9">
        <v>0.65300000000000002</v>
      </c>
      <c r="F9">
        <v>7.141</v>
      </c>
      <c r="G9" s="7"/>
      <c r="H9" s="7"/>
      <c r="I9" s="6"/>
      <c r="N9" s="4"/>
      <c r="O9" s="4"/>
    </row>
    <row r="10" spans="1:16" x14ac:dyDescent="0.25">
      <c r="G10" s="7"/>
      <c r="H10" s="7"/>
      <c r="I10" s="6"/>
      <c r="N10" s="4"/>
      <c r="O10" s="4"/>
    </row>
    <row r="11" spans="1:16" x14ac:dyDescent="0.25">
      <c r="G11" s="7"/>
      <c r="H11" s="7"/>
      <c r="I11" s="6"/>
      <c r="N11" s="4"/>
      <c r="O11" s="4"/>
    </row>
    <row r="12" spans="1:16" x14ac:dyDescent="0.25">
      <c r="A12">
        <v>1</v>
      </c>
      <c r="B12">
        <v>152.37</v>
      </c>
      <c r="C12">
        <f>B12/1000</f>
        <v>0.15237000000000001</v>
      </c>
      <c r="D12">
        <v>65.3</v>
      </c>
      <c r="E12">
        <v>0.65300000000000002</v>
      </c>
      <c r="F12">
        <v>5.7560000000000002</v>
      </c>
      <c r="G12" s="7"/>
      <c r="H12" s="7"/>
      <c r="I12" s="6"/>
      <c r="N12" s="4"/>
      <c r="O12" s="4"/>
    </row>
    <row r="13" spans="1:16" x14ac:dyDescent="0.25">
      <c r="A13">
        <v>2</v>
      </c>
      <c r="B13">
        <v>152.37</v>
      </c>
      <c r="C13">
        <f t="shared" ref="C13:C14" si="2">B13/1000</f>
        <v>0.15237000000000001</v>
      </c>
      <c r="D13">
        <v>65.3</v>
      </c>
      <c r="E13">
        <v>0.65300000000000002</v>
      </c>
      <c r="F13">
        <v>5.27</v>
      </c>
      <c r="G13" s="7">
        <f>AVERAGE(F12:F14)</f>
        <v>5.6483333333333334</v>
      </c>
      <c r="H13" s="7">
        <f>G13*G13</f>
        <v>31.903669444444446</v>
      </c>
      <c r="I13" s="6">
        <f>2*E13/H13</f>
        <v>4.0935730050557576E-2</v>
      </c>
      <c r="J13">
        <f>30.72/2</f>
        <v>15.36</v>
      </c>
      <c r="K13">
        <f>J13/1000</f>
        <v>1.5359999999999999E-2</v>
      </c>
      <c r="L13">
        <f>0.228/2</f>
        <v>0.114</v>
      </c>
      <c r="M13">
        <v>1.3779999999999999</v>
      </c>
      <c r="N13" s="4">
        <f>(C12*9.8-C12*I13)*K13/(I13/K13)</f>
        <v>8.5701325114111125E-3</v>
      </c>
      <c r="O13" s="4">
        <f>M13*L13*L13/2</f>
        <v>8.9542440000000001E-3</v>
      </c>
      <c r="P13" s="2">
        <f>(N13-O13)/O13*(-1)</f>
        <v>4.2897143364519393E-2</v>
      </c>
    </row>
    <row r="14" spans="1:16" x14ac:dyDescent="0.25">
      <c r="A14">
        <v>3</v>
      </c>
      <c r="B14">
        <v>152.37</v>
      </c>
      <c r="C14">
        <f t="shared" si="2"/>
        <v>0.15237000000000001</v>
      </c>
      <c r="D14">
        <v>65.3</v>
      </c>
      <c r="E14">
        <v>0.65300000000000002</v>
      </c>
      <c r="F14">
        <v>5.9189999999999996</v>
      </c>
      <c r="I14" s="6"/>
    </row>
    <row r="18" spans="1:10" x14ac:dyDescent="0.25">
      <c r="A18" t="s">
        <v>14</v>
      </c>
      <c r="B18" s="1" t="s">
        <v>15</v>
      </c>
      <c r="C18" t="s">
        <v>16</v>
      </c>
      <c r="D18" t="s">
        <v>38</v>
      </c>
      <c r="E18" t="s">
        <v>17</v>
      </c>
      <c r="F18" t="s">
        <v>18</v>
      </c>
      <c r="H18" t="s">
        <v>3</v>
      </c>
      <c r="I18" s="1" t="s">
        <v>21</v>
      </c>
      <c r="J18">
        <v>0.84899999999999998</v>
      </c>
    </row>
    <row r="19" spans="1:10" x14ac:dyDescent="0.25">
      <c r="A19">
        <v>1</v>
      </c>
      <c r="B19">
        <v>1.6439999999999999</v>
      </c>
      <c r="C19">
        <f>B19</f>
        <v>1.6439999999999999</v>
      </c>
      <c r="D19" s="7">
        <f>2*PI()/B19</f>
        <v>3.821888872980284</v>
      </c>
      <c r="E19">
        <v>53.31</v>
      </c>
      <c r="F19">
        <f t="shared" ref="F19" si="3">E19/1000</f>
        <v>5.3310000000000003E-2</v>
      </c>
      <c r="H19">
        <v>75</v>
      </c>
      <c r="I19" t="s">
        <v>22</v>
      </c>
      <c r="J19">
        <v>-6.13E-2</v>
      </c>
    </row>
    <row r="20" spans="1:10" x14ac:dyDescent="0.25">
      <c r="A20">
        <v>2</v>
      </c>
      <c r="B20">
        <v>1.2649999999999999</v>
      </c>
      <c r="C20">
        <f>B20+C19</f>
        <v>2.9089999999999998</v>
      </c>
      <c r="D20" s="7">
        <f t="shared" ref="D20:D68" si="4">2*PI()/B20</f>
        <v>4.9669449068613334</v>
      </c>
      <c r="H20" t="s">
        <v>4</v>
      </c>
      <c r="I20" t="s">
        <v>23</v>
      </c>
      <c r="J20" s="7">
        <f>7.504559*0.849+2.471</f>
        <v>8.8423705909999999</v>
      </c>
    </row>
    <row r="21" spans="1:10" x14ac:dyDescent="0.25">
      <c r="A21">
        <v>3</v>
      </c>
      <c r="B21">
        <v>1.07</v>
      </c>
      <c r="C21">
        <f t="shared" ref="C21:C68" si="5">B21+C20</f>
        <v>3.9790000000000001</v>
      </c>
      <c r="D21" s="7">
        <f t="shared" si="4"/>
        <v>5.8721358011024165</v>
      </c>
      <c r="H21">
        <f>H19/100</f>
        <v>0.75</v>
      </c>
    </row>
    <row r="22" spans="1:10" x14ac:dyDescent="0.25">
      <c r="A22">
        <v>4</v>
      </c>
      <c r="B22">
        <v>0.94099999999999995</v>
      </c>
      <c r="C22">
        <f t="shared" si="5"/>
        <v>4.92</v>
      </c>
      <c r="D22" s="7">
        <f t="shared" si="4"/>
        <v>6.6771363519443003</v>
      </c>
      <c r="I22" t="s">
        <v>24</v>
      </c>
      <c r="J22">
        <f>(F19*9.8-F19*J18*K2)*K2/J18</f>
        <v>9.4393044304798314E-3</v>
      </c>
    </row>
    <row r="23" spans="1:10" x14ac:dyDescent="0.25">
      <c r="A23">
        <v>5</v>
      </c>
      <c r="B23">
        <v>0.85199999999999998</v>
      </c>
      <c r="C23">
        <f t="shared" si="5"/>
        <v>5.7720000000000002</v>
      </c>
      <c r="D23" s="7">
        <f t="shared" si="4"/>
        <v>7.3746306422295618</v>
      </c>
      <c r="I23" t="s">
        <v>25</v>
      </c>
      <c r="J23">
        <f>M2*L2*L2/2</f>
        <v>8.9542440000000001E-3</v>
      </c>
    </row>
    <row r="24" spans="1:10" x14ac:dyDescent="0.25">
      <c r="A24">
        <v>6</v>
      </c>
      <c r="B24">
        <v>0.78300000000000003</v>
      </c>
      <c r="C24">
        <f t="shared" si="5"/>
        <v>6.5550000000000006</v>
      </c>
      <c r="D24" s="7">
        <f t="shared" si="4"/>
        <v>8.0245023080199047</v>
      </c>
      <c r="I24" t="s">
        <v>26</v>
      </c>
      <c r="J24" s="3">
        <f>(J22-J23)/J23</f>
        <v>5.4171008795363552E-2</v>
      </c>
    </row>
    <row r="25" spans="1:10" x14ac:dyDescent="0.25">
      <c r="A25">
        <v>7</v>
      </c>
      <c r="B25">
        <v>0.72799999999999998</v>
      </c>
      <c r="C25">
        <f t="shared" si="5"/>
        <v>7.2830000000000004</v>
      </c>
      <c r="D25" s="7">
        <f t="shared" si="4"/>
        <v>8.630749048323608</v>
      </c>
    </row>
    <row r="26" spans="1:10" x14ac:dyDescent="0.25">
      <c r="A26">
        <v>8</v>
      </c>
      <c r="B26">
        <v>0.71199999999999997</v>
      </c>
      <c r="C26">
        <f t="shared" si="5"/>
        <v>7.9950000000000001</v>
      </c>
      <c r="D26" s="7">
        <f t="shared" si="4"/>
        <v>8.8246984651398694</v>
      </c>
      <c r="I26" t="s">
        <v>24</v>
      </c>
      <c r="J26" s="5">
        <f>(F19*9.8-F19*J18*K2)*K2/(J18+J19)</f>
        <v>1.0173885313542436E-2</v>
      </c>
    </row>
    <row r="27" spans="1:10" x14ac:dyDescent="0.25">
      <c r="A27">
        <v>9</v>
      </c>
      <c r="B27">
        <v>0.71499999999999997</v>
      </c>
      <c r="C27">
        <f t="shared" si="5"/>
        <v>8.7100000000000009</v>
      </c>
      <c r="D27" s="7">
        <f t="shared" si="4"/>
        <v>8.7876717582931274</v>
      </c>
      <c r="I27" t="s">
        <v>25</v>
      </c>
      <c r="J27" s="5">
        <f>M2*L2*L2/2</f>
        <v>8.9542440000000001E-3</v>
      </c>
    </row>
    <row r="28" spans="1:10" x14ac:dyDescent="0.25">
      <c r="A28">
        <v>10</v>
      </c>
      <c r="B28">
        <v>0.72</v>
      </c>
      <c r="C28">
        <f t="shared" si="5"/>
        <v>9.4300000000000015</v>
      </c>
      <c r="D28" s="7">
        <f t="shared" si="4"/>
        <v>8.7266462599716483</v>
      </c>
      <c r="I28" t="s">
        <v>26</v>
      </c>
      <c r="J28" s="3">
        <f>(J26-J27)/J27</f>
        <v>0.13620818391172226</v>
      </c>
    </row>
    <row r="29" spans="1:10" x14ac:dyDescent="0.25">
      <c r="A29">
        <v>11</v>
      </c>
      <c r="B29">
        <v>0.72299999999999998</v>
      </c>
      <c r="C29">
        <f t="shared" si="5"/>
        <v>10.153000000000002</v>
      </c>
      <c r="D29" s="7">
        <f t="shared" si="4"/>
        <v>8.6904361095153337</v>
      </c>
    </row>
    <row r="30" spans="1:10" x14ac:dyDescent="0.25">
      <c r="A30">
        <v>12</v>
      </c>
      <c r="B30">
        <v>0.72699999999999998</v>
      </c>
      <c r="C30">
        <f t="shared" si="5"/>
        <v>10.880000000000003</v>
      </c>
      <c r="D30" s="7">
        <f t="shared" si="4"/>
        <v>8.6426207801644939</v>
      </c>
    </row>
    <row r="31" spans="1:10" x14ac:dyDescent="0.25">
      <c r="A31">
        <v>13</v>
      </c>
      <c r="B31">
        <v>0.73099999999999998</v>
      </c>
      <c r="C31">
        <f t="shared" si="5"/>
        <v>11.611000000000002</v>
      </c>
      <c r="D31" s="7">
        <f t="shared" si="4"/>
        <v>8.5953287375917728</v>
      </c>
    </row>
    <row r="32" spans="1:10" x14ac:dyDescent="0.25">
      <c r="A32">
        <v>14</v>
      </c>
      <c r="B32">
        <v>0.73499999999999999</v>
      </c>
      <c r="C32">
        <f t="shared" si="5"/>
        <v>12.346000000000002</v>
      </c>
      <c r="D32" s="7">
        <f t="shared" si="4"/>
        <v>8.5485514383395724</v>
      </c>
    </row>
    <row r="33" spans="1:4" x14ac:dyDescent="0.25">
      <c r="A33">
        <v>15</v>
      </c>
      <c r="B33">
        <v>0.73799999999999999</v>
      </c>
      <c r="C33">
        <f t="shared" si="5"/>
        <v>13.084000000000001</v>
      </c>
      <c r="D33" s="7">
        <f t="shared" si="4"/>
        <v>8.5138012292406327</v>
      </c>
    </row>
    <row r="34" spans="1:4" x14ac:dyDescent="0.25">
      <c r="A34">
        <v>16</v>
      </c>
      <c r="B34">
        <v>0.74299999999999999</v>
      </c>
      <c r="C34">
        <f t="shared" si="5"/>
        <v>13.827000000000002</v>
      </c>
      <c r="D34" s="7">
        <f t="shared" si="4"/>
        <v>8.4565078158540867</v>
      </c>
    </row>
    <row r="35" spans="1:4" x14ac:dyDescent="0.25">
      <c r="A35">
        <v>17</v>
      </c>
      <c r="B35">
        <v>0.747</v>
      </c>
      <c r="C35">
        <f t="shared" si="5"/>
        <v>14.574000000000002</v>
      </c>
      <c r="D35" s="7">
        <f t="shared" si="4"/>
        <v>8.4112253108160466</v>
      </c>
    </row>
    <row r="36" spans="1:4" x14ac:dyDescent="0.25">
      <c r="A36">
        <v>18</v>
      </c>
      <c r="B36">
        <v>0.75</v>
      </c>
      <c r="C36">
        <f t="shared" si="5"/>
        <v>15.324000000000002</v>
      </c>
      <c r="D36" s="7">
        <f t="shared" si="4"/>
        <v>8.3775804095727811</v>
      </c>
    </row>
    <row r="37" spans="1:4" x14ac:dyDescent="0.25">
      <c r="A37">
        <v>19</v>
      </c>
      <c r="B37">
        <v>0.75600000000000001</v>
      </c>
      <c r="C37">
        <f t="shared" si="5"/>
        <v>16.080000000000002</v>
      </c>
      <c r="D37" s="7">
        <f t="shared" si="4"/>
        <v>8.311091676163473</v>
      </c>
    </row>
    <row r="38" spans="1:4" x14ac:dyDescent="0.25">
      <c r="A38">
        <v>20</v>
      </c>
      <c r="B38">
        <v>0.75900000000000001</v>
      </c>
      <c r="C38">
        <f t="shared" si="5"/>
        <v>16.839000000000002</v>
      </c>
      <c r="D38" s="7">
        <f t="shared" si="4"/>
        <v>8.2782415114355548</v>
      </c>
    </row>
    <row r="39" spans="1:4" x14ac:dyDescent="0.25">
      <c r="A39">
        <v>21</v>
      </c>
      <c r="B39">
        <v>0.76500000000000001</v>
      </c>
      <c r="C39">
        <f t="shared" si="5"/>
        <v>17.604000000000003</v>
      </c>
      <c r="D39" s="7">
        <f t="shared" si="4"/>
        <v>8.2133141270321381</v>
      </c>
    </row>
    <row r="40" spans="1:4" x14ac:dyDescent="0.25">
      <c r="A40">
        <v>22</v>
      </c>
      <c r="B40">
        <v>0.76900000000000002</v>
      </c>
      <c r="C40">
        <f t="shared" si="5"/>
        <v>18.373000000000001</v>
      </c>
      <c r="D40" s="7">
        <f t="shared" si="4"/>
        <v>8.1705920769565488</v>
      </c>
    </row>
    <row r="41" spans="1:4" x14ac:dyDescent="0.25">
      <c r="A41">
        <v>23</v>
      </c>
      <c r="B41">
        <v>0.77400000000000002</v>
      </c>
      <c r="C41">
        <f t="shared" si="5"/>
        <v>19.147000000000002</v>
      </c>
      <c r="D41" s="7">
        <f t="shared" si="4"/>
        <v>8.1178104743922308</v>
      </c>
    </row>
    <row r="42" spans="1:4" x14ac:dyDescent="0.25">
      <c r="A42">
        <v>24</v>
      </c>
      <c r="B42">
        <v>0.77900000000000003</v>
      </c>
      <c r="C42">
        <f t="shared" si="5"/>
        <v>19.926000000000002</v>
      </c>
      <c r="D42" s="7">
        <f t="shared" si="4"/>
        <v>8.0657064277016506</v>
      </c>
    </row>
    <row r="43" spans="1:4" x14ac:dyDescent="0.25">
      <c r="A43">
        <v>25</v>
      </c>
      <c r="B43">
        <v>0.78300000000000003</v>
      </c>
      <c r="C43">
        <f t="shared" si="5"/>
        <v>20.709000000000003</v>
      </c>
      <c r="D43" s="7">
        <f t="shared" si="4"/>
        <v>8.0245023080199047</v>
      </c>
    </row>
    <row r="44" spans="1:4" x14ac:dyDescent="0.25">
      <c r="A44">
        <v>26</v>
      </c>
      <c r="B44">
        <v>0.79</v>
      </c>
      <c r="C44">
        <f t="shared" si="5"/>
        <v>21.499000000000002</v>
      </c>
      <c r="D44" s="7">
        <f t="shared" si="4"/>
        <v>7.9533991230121339</v>
      </c>
    </row>
    <row r="45" spans="1:4" x14ac:dyDescent="0.25">
      <c r="A45">
        <v>27</v>
      </c>
      <c r="B45">
        <v>0.79400000000000004</v>
      </c>
      <c r="C45">
        <f t="shared" si="5"/>
        <v>22.293000000000003</v>
      </c>
      <c r="D45" s="7">
        <f t="shared" si="4"/>
        <v>7.9133316211329801</v>
      </c>
    </row>
    <row r="46" spans="1:4" x14ac:dyDescent="0.25">
      <c r="A46">
        <v>28</v>
      </c>
      <c r="B46">
        <v>0.79800000000000004</v>
      </c>
      <c r="C46">
        <f t="shared" si="5"/>
        <v>23.091000000000001</v>
      </c>
      <c r="D46" s="7">
        <f t="shared" si="4"/>
        <v>7.8736657984706593</v>
      </c>
    </row>
    <row r="47" spans="1:4" x14ac:dyDescent="0.25">
      <c r="A47">
        <v>29</v>
      </c>
      <c r="B47">
        <v>0.80400000000000005</v>
      </c>
      <c r="C47">
        <f t="shared" si="5"/>
        <v>23.895</v>
      </c>
      <c r="D47" s="7">
        <f t="shared" si="4"/>
        <v>7.8149070984820721</v>
      </c>
    </row>
    <row r="48" spans="1:4" x14ac:dyDescent="0.25">
      <c r="A48">
        <v>30</v>
      </c>
      <c r="B48">
        <v>0.80800000000000005</v>
      </c>
      <c r="C48">
        <f t="shared" si="5"/>
        <v>24.702999999999999</v>
      </c>
      <c r="D48" s="7">
        <f t="shared" si="4"/>
        <v>7.7762194395786954</v>
      </c>
    </row>
    <row r="49" spans="1:4" x14ac:dyDescent="0.25">
      <c r="A49">
        <v>31</v>
      </c>
      <c r="B49">
        <v>0.81399999999999995</v>
      </c>
      <c r="C49">
        <f t="shared" si="5"/>
        <v>25.516999999999999</v>
      </c>
      <c r="D49" s="7">
        <f t="shared" si="4"/>
        <v>7.7189008687709908</v>
      </c>
    </row>
    <row r="50" spans="1:4" x14ac:dyDescent="0.25">
      <c r="A50">
        <v>32</v>
      </c>
      <c r="B50">
        <v>0.81899999999999995</v>
      </c>
      <c r="C50">
        <f t="shared" si="5"/>
        <v>26.335999999999999</v>
      </c>
      <c r="D50" s="7">
        <f t="shared" si="4"/>
        <v>7.6717769318432074</v>
      </c>
    </row>
    <row r="51" spans="1:4" x14ac:dyDescent="0.25">
      <c r="A51">
        <v>33</v>
      </c>
      <c r="B51">
        <v>0.82299999999999995</v>
      </c>
      <c r="C51">
        <f t="shared" si="5"/>
        <v>27.158999999999999</v>
      </c>
      <c r="D51" s="7">
        <f t="shared" si="4"/>
        <v>7.6344900451756823</v>
      </c>
    </row>
    <row r="52" spans="1:4" x14ac:dyDescent="0.25">
      <c r="A52">
        <v>34</v>
      </c>
      <c r="B52">
        <v>0.82899999999999996</v>
      </c>
      <c r="C52">
        <f t="shared" si="5"/>
        <v>27.988</v>
      </c>
      <c r="D52" s="7">
        <f t="shared" si="4"/>
        <v>7.5792343874301409</v>
      </c>
    </row>
    <row r="53" spans="1:4" x14ac:dyDescent="0.25">
      <c r="A53">
        <v>35</v>
      </c>
      <c r="B53">
        <v>0.82899999999999996</v>
      </c>
      <c r="C53">
        <f t="shared" si="5"/>
        <v>28.817</v>
      </c>
      <c r="D53" s="7">
        <f t="shared" si="4"/>
        <v>7.5792343874301409</v>
      </c>
    </row>
    <row r="54" spans="1:4" x14ac:dyDescent="0.25">
      <c r="A54">
        <v>36</v>
      </c>
      <c r="B54">
        <v>0.83899999999999997</v>
      </c>
      <c r="C54">
        <f t="shared" si="5"/>
        <v>29.655999999999999</v>
      </c>
      <c r="D54" s="7">
        <f t="shared" si="4"/>
        <v>7.4888978631461098</v>
      </c>
    </row>
    <row r="55" spans="1:4" x14ac:dyDescent="0.25">
      <c r="A55">
        <v>37</v>
      </c>
      <c r="B55">
        <v>0.84499999999999997</v>
      </c>
      <c r="C55">
        <f t="shared" si="5"/>
        <v>30.500999999999998</v>
      </c>
      <c r="D55" s="7">
        <f t="shared" si="4"/>
        <v>7.4357222570172619</v>
      </c>
    </row>
    <row r="56" spans="1:4" x14ac:dyDescent="0.25">
      <c r="A56">
        <v>38</v>
      </c>
      <c r="B56">
        <v>0.85199999999999998</v>
      </c>
      <c r="C56">
        <f t="shared" si="5"/>
        <v>31.352999999999998</v>
      </c>
      <c r="D56" s="7">
        <f t="shared" si="4"/>
        <v>7.3746306422295618</v>
      </c>
    </row>
    <row r="57" spans="1:4" x14ac:dyDescent="0.25">
      <c r="A57">
        <v>39</v>
      </c>
      <c r="B57">
        <v>0.85699999999999998</v>
      </c>
      <c r="C57">
        <f t="shared" si="5"/>
        <v>32.21</v>
      </c>
      <c r="D57" s="7">
        <f t="shared" si="4"/>
        <v>7.3316047925082684</v>
      </c>
    </row>
    <row r="58" spans="1:4" x14ac:dyDescent="0.25">
      <c r="A58">
        <v>40</v>
      </c>
      <c r="B58">
        <v>0.86299999999999999</v>
      </c>
      <c r="C58">
        <f t="shared" si="5"/>
        <v>33.073</v>
      </c>
      <c r="D58" s="7">
        <f t="shared" si="4"/>
        <v>7.2806318739045031</v>
      </c>
    </row>
    <row r="59" spans="1:4" x14ac:dyDescent="0.25">
      <c r="A59">
        <v>41</v>
      </c>
      <c r="B59">
        <v>0.87</v>
      </c>
      <c r="C59">
        <f t="shared" si="5"/>
        <v>33.942999999999998</v>
      </c>
      <c r="D59" s="7">
        <f t="shared" si="4"/>
        <v>7.2220520772179153</v>
      </c>
    </row>
    <row r="60" spans="1:4" x14ac:dyDescent="0.25">
      <c r="A60">
        <v>42</v>
      </c>
      <c r="B60">
        <v>0.875</v>
      </c>
      <c r="C60">
        <f t="shared" si="5"/>
        <v>34.817999999999998</v>
      </c>
      <c r="D60" s="7">
        <f t="shared" si="4"/>
        <v>7.1807832082052414</v>
      </c>
    </row>
    <row r="61" spans="1:4" x14ac:dyDescent="0.25">
      <c r="A61">
        <v>43</v>
      </c>
      <c r="B61">
        <v>0.88200000000000001</v>
      </c>
      <c r="C61">
        <f t="shared" si="5"/>
        <v>35.699999999999996</v>
      </c>
      <c r="D61" s="7">
        <f t="shared" si="4"/>
        <v>7.1237928652829776</v>
      </c>
    </row>
    <row r="62" spans="1:4" x14ac:dyDescent="0.25">
      <c r="A62">
        <v>44</v>
      </c>
      <c r="B62">
        <v>0.89100000000000001</v>
      </c>
      <c r="C62">
        <f t="shared" si="5"/>
        <v>36.590999999999994</v>
      </c>
      <c r="D62" s="7">
        <f t="shared" si="4"/>
        <v>7.0518353615932501</v>
      </c>
    </row>
    <row r="63" spans="1:4" x14ac:dyDescent="0.25">
      <c r="A63">
        <v>45</v>
      </c>
      <c r="B63">
        <v>0.89700000000000002</v>
      </c>
      <c r="C63">
        <f t="shared" si="5"/>
        <v>37.487999999999992</v>
      </c>
      <c r="D63" s="7">
        <f t="shared" si="4"/>
        <v>7.0046658942916231</v>
      </c>
    </row>
    <row r="64" spans="1:4" x14ac:dyDescent="0.25">
      <c r="A64">
        <v>46</v>
      </c>
      <c r="B64">
        <v>0.90500000000000003</v>
      </c>
      <c r="C64">
        <f t="shared" si="5"/>
        <v>38.392999999999994</v>
      </c>
      <c r="D64" s="7">
        <f t="shared" si="4"/>
        <v>6.9427461957785477</v>
      </c>
    </row>
    <row r="65" spans="1:5" x14ac:dyDescent="0.25">
      <c r="A65">
        <v>47</v>
      </c>
      <c r="B65">
        <v>0.91200000000000003</v>
      </c>
      <c r="C65">
        <f t="shared" si="5"/>
        <v>39.304999999999993</v>
      </c>
      <c r="D65" s="7">
        <f t="shared" si="4"/>
        <v>6.8894575736618267</v>
      </c>
    </row>
    <row r="66" spans="1:5" x14ac:dyDescent="0.25">
      <c r="A66">
        <v>48</v>
      </c>
      <c r="B66">
        <v>0.91800000000000004</v>
      </c>
      <c r="C66">
        <f t="shared" si="5"/>
        <v>40.222999999999992</v>
      </c>
      <c r="D66" s="7">
        <f t="shared" si="4"/>
        <v>6.8444284391934485</v>
      </c>
    </row>
    <row r="67" spans="1:5" x14ac:dyDescent="0.25">
      <c r="A67">
        <v>49</v>
      </c>
      <c r="B67">
        <v>0.92600000000000005</v>
      </c>
      <c r="C67">
        <f t="shared" si="5"/>
        <v>41.148999999999994</v>
      </c>
      <c r="D67" s="7">
        <f t="shared" si="4"/>
        <v>6.7852973079693149</v>
      </c>
    </row>
    <row r="68" spans="1:5" x14ac:dyDescent="0.25">
      <c r="A68">
        <v>50</v>
      </c>
      <c r="B68">
        <v>0.93200000000000005</v>
      </c>
      <c r="C68">
        <f t="shared" si="5"/>
        <v>42.080999999999996</v>
      </c>
      <c r="D68" s="7">
        <f t="shared" si="4"/>
        <v>6.7416151364587833</v>
      </c>
    </row>
    <row r="70" spans="1:5" x14ac:dyDescent="0.25">
      <c r="A70" t="s">
        <v>27</v>
      </c>
    </row>
    <row r="71" spans="1:5" x14ac:dyDescent="0.25">
      <c r="A71" t="s">
        <v>28</v>
      </c>
      <c r="B71">
        <f>F19*9.8*H21</f>
        <v>0.39182850000000002</v>
      </c>
      <c r="D71" t="s">
        <v>36</v>
      </c>
      <c r="E71" s="2">
        <f>(B71-B77)/B71</f>
        <v>5.570603670025924E-2</v>
      </c>
    </row>
    <row r="72" spans="1:5" x14ac:dyDescent="0.25">
      <c r="A72" t="s">
        <v>34</v>
      </c>
      <c r="B72">
        <f>0.009439</f>
        <v>9.4389999999999995E-3</v>
      </c>
    </row>
    <row r="73" spans="1:5" x14ac:dyDescent="0.25">
      <c r="A73" t="s">
        <v>35</v>
      </c>
      <c r="B73">
        <f>0.010174</f>
        <v>1.0174000000000001E-2</v>
      </c>
      <c r="D73" t="s">
        <v>37</v>
      </c>
      <c r="E73" s="2">
        <f>(B71-B78)/B71</f>
        <v>6.1387803403912318E-2</v>
      </c>
    </row>
    <row r="74" spans="1:5" x14ac:dyDescent="0.25">
      <c r="A74" t="s">
        <v>31</v>
      </c>
      <c r="B74">
        <f>K2*J20</f>
        <v>0.13581881227775999</v>
      </c>
    </row>
    <row r="75" spans="1:5" x14ac:dyDescent="0.25">
      <c r="A75" t="s">
        <v>33</v>
      </c>
      <c r="B75">
        <f>J26*J19</f>
        <v>-6.2365916972015128E-4</v>
      </c>
    </row>
    <row r="76" spans="1:5" x14ac:dyDescent="0.25">
      <c r="A76" s="1" t="s">
        <v>32</v>
      </c>
      <c r="B76">
        <f>H21/K2</f>
        <v>48.828125000000007</v>
      </c>
    </row>
    <row r="77" spans="1:5" x14ac:dyDescent="0.25">
      <c r="A77" t="s">
        <v>29</v>
      </c>
      <c r="B77">
        <f>J22*J20*J20/2+F19*B74*B74</f>
        <v>0.37000128719879249</v>
      </c>
    </row>
    <row r="78" spans="1:5" x14ac:dyDescent="0.25">
      <c r="A78" t="s">
        <v>30</v>
      </c>
      <c r="B78">
        <f>J26*J20*J20/2+B74*B74*F19/2+J26*J19*B76</f>
        <v>0.36777500907395017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2023-12-15T05:00:00Z</dcterms:created>
  <dcterms:modified xsi:type="dcterms:W3CDTF">2023-12-15T08:07:04Z</dcterms:modified>
</cp:coreProperties>
</file>